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firstSheet="12" activeTab="12"/>
  </bookViews>
  <sheets>
    <sheet name="dec" sheetId="1" state="hidden" r:id="rId1"/>
    <sheet name="jan" sheetId="2" state="hidden" r:id="rId2"/>
    <sheet name="feb" sheetId="3" state="hidden" r:id="rId3"/>
    <sheet name="mar" sheetId="4" state="hidden" r:id="rId4"/>
    <sheet name="apr" sheetId="7" state="hidden" r:id="rId5"/>
    <sheet name="may" sheetId="8" state="hidden" r:id="rId6"/>
    <sheet name="june" sheetId="9" state="hidden" r:id="rId7"/>
    <sheet name="july" sheetId="10" state="hidden" r:id="rId8"/>
    <sheet name="aug" sheetId="11" state="hidden" r:id="rId9"/>
    <sheet name="sept" sheetId="12" state="hidden" r:id="rId10"/>
    <sheet name="oct" sheetId="13" state="hidden" r:id="rId11"/>
    <sheet name="nov" sheetId="14" state="hidden" r:id="rId12"/>
    <sheet name="DEC'15" sheetId="15" r:id="rId13"/>
    <sheet name="mar (2)" sheetId="5" state="hidden" r:id="rId14"/>
    <sheet name="Sheet1" sheetId="6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8">aug!$A$1:$M$41</definedName>
    <definedName name="_xlnm.Print_Area" localSheetId="12">'DEC''15'!$A$1:$P$59</definedName>
    <definedName name="_xlnm.Print_Area" localSheetId="7">july!$A$1:$M$41</definedName>
    <definedName name="_xlnm.Print_Area" localSheetId="11">nov!$A$1:$M$49</definedName>
    <definedName name="_xlnm.Print_Area" localSheetId="10">oct!$A$1:$M$50</definedName>
    <definedName name="_xlnm.Print_Area" localSheetId="9">sept!$A$1:$M$41</definedName>
  </definedNames>
  <calcPr calcId="124519"/>
</workbook>
</file>

<file path=xl/calcChain.xml><?xml version="1.0" encoding="utf-8"?>
<calcChain xmlns="http://schemas.openxmlformats.org/spreadsheetml/2006/main">
  <c r="R48" i="15"/>
  <c r="G39" l="1"/>
  <c r="I39"/>
  <c r="J39"/>
  <c r="K39"/>
  <c r="L39"/>
  <c r="O39"/>
  <c r="D39"/>
  <c r="O36"/>
  <c r="N36"/>
  <c r="L36"/>
  <c r="M36"/>
  <c r="K48"/>
  <c r="O48"/>
  <c r="P42"/>
  <c r="P46" s="1"/>
  <c r="L42"/>
  <c r="L31"/>
  <c r="L27"/>
  <c r="L21"/>
  <c r="L17"/>
  <c r="L11"/>
  <c r="H42"/>
  <c r="O42"/>
  <c r="N42"/>
  <c r="N46"/>
  <c r="O46"/>
  <c r="O14"/>
  <c r="K46"/>
  <c r="K14"/>
  <c r="G46"/>
  <c r="G14"/>
  <c r="G48" s="1"/>
  <c r="M42"/>
  <c r="E46"/>
  <c r="F46"/>
  <c r="I46"/>
  <c r="J46"/>
  <c r="L46"/>
  <c r="D46"/>
  <c r="P36" l="1"/>
  <c r="H36"/>
  <c r="M46"/>
  <c r="H46"/>
  <c r="F27"/>
  <c r="N27" s="1"/>
  <c r="E27"/>
  <c r="H27" s="1"/>
  <c r="F31" l="1"/>
  <c r="N31" s="1"/>
  <c r="E31"/>
  <c r="M27"/>
  <c r="P27" s="1"/>
  <c r="N21"/>
  <c r="N39" s="1"/>
  <c r="F21"/>
  <c r="E21"/>
  <c r="F17"/>
  <c r="F39" s="1"/>
  <c r="E17"/>
  <c r="D14"/>
  <c r="D48" s="1"/>
  <c r="J14"/>
  <c r="J48" s="1"/>
  <c r="I14"/>
  <c r="I48" s="1"/>
  <c r="F11"/>
  <c r="F14" s="1"/>
  <c r="E11"/>
  <c r="I11" i="14"/>
  <c r="H11"/>
  <c r="H17" i="15" l="1"/>
  <c r="E39"/>
  <c r="M31"/>
  <c r="P31" s="1"/>
  <c r="H31"/>
  <c r="M21"/>
  <c r="P21" s="1"/>
  <c r="H21"/>
  <c r="H11"/>
  <c r="H14" s="1"/>
  <c r="D63"/>
  <c r="F48"/>
  <c r="E14"/>
  <c r="M11"/>
  <c r="J63"/>
  <c r="I63"/>
  <c r="L14"/>
  <c r="L48" s="1"/>
  <c r="N11"/>
  <c r="N14" s="1"/>
  <c r="N48" s="1"/>
  <c r="M17"/>
  <c r="D36" i="14"/>
  <c r="J31"/>
  <c r="F31"/>
  <c r="L31" s="1"/>
  <c r="E31"/>
  <c r="K31" s="1"/>
  <c r="I27"/>
  <c r="I36" s="1"/>
  <c r="H27"/>
  <c r="H36" s="1"/>
  <c r="F27"/>
  <c r="L27" s="1"/>
  <c r="E27"/>
  <c r="K27" s="1"/>
  <c r="L21"/>
  <c r="L36" s="1"/>
  <c r="J21"/>
  <c r="F21"/>
  <c r="E21"/>
  <c r="K21" s="1"/>
  <c r="F17"/>
  <c r="F36" s="1"/>
  <c r="E17"/>
  <c r="E36" s="1"/>
  <c r="D14"/>
  <c r="D38" s="1"/>
  <c r="D53" s="1"/>
  <c r="I14"/>
  <c r="I38" s="1"/>
  <c r="I53" s="1"/>
  <c r="J11"/>
  <c r="J14" s="1"/>
  <c r="E11"/>
  <c r="E14" s="1"/>
  <c r="E38" s="1"/>
  <c r="E53" s="1"/>
  <c r="H39" i="15" l="1"/>
  <c r="P17"/>
  <c r="P39" s="1"/>
  <c r="M39"/>
  <c r="P11"/>
  <c r="E48"/>
  <c r="E63" s="1"/>
  <c r="N63"/>
  <c r="F63"/>
  <c r="M14"/>
  <c r="H48"/>
  <c r="L63"/>
  <c r="M21" i="14"/>
  <c r="H14"/>
  <c r="H38" s="1"/>
  <c r="H53" s="1"/>
  <c r="M27"/>
  <c r="M31"/>
  <c r="K11"/>
  <c r="K17"/>
  <c r="G21"/>
  <c r="J27"/>
  <c r="J36" s="1"/>
  <c r="J38" s="1"/>
  <c r="J53" s="1"/>
  <c r="G17"/>
  <c r="G27"/>
  <c r="G31"/>
  <c r="L17" i="12"/>
  <c r="H26"/>
  <c r="I26"/>
  <c r="H17"/>
  <c r="I17"/>
  <c r="M48" i="15" l="1"/>
  <c r="M63" s="1"/>
  <c r="H63"/>
  <c r="R49"/>
  <c r="P14"/>
  <c r="K14" i="14"/>
  <c r="K36"/>
  <c r="O39" s="1"/>
  <c r="M17"/>
  <c r="M36" s="1"/>
  <c r="G36"/>
  <c r="E8" i="12"/>
  <c r="K8" s="1"/>
  <c r="P48" i="15" l="1"/>
  <c r="P63" s="1"/>
  <c r="K38" i="14"/>
  <c r="K53" s="1"/>
  <c r="D37" i="13"/>
  <c r="J32"/>
  <c r="K32"/>
  <c r="I37"/>
  <c r="L37"/>
  <c r="K28"/>
  <c r="J21"/>
  <c r="K21"/>
  <c r="M21" s="1"/>
  <c r="E37"/>
  <c r="H14"/>
  <c r="D14"/>
  <c r="D39" s="1"/>
  <c r="D54" s="1"/>
  <c r="I14"/>
  <c r="E14"/>
  <c r="D45" i="12"/>
  <c r="E39" i="13" l="1"/>
  <c r="E54" s="1"/>
  <c r="I39"/>
  <c r="I54" s="1"/>
  <c r="F37"/>
  <c r="J28"/>
  <c r="L14"/>
  <c r="L39" s="1"/>
  <c r="L54" s="1"/>
  <c r="J37"/>
  <c r="J10"/>
  <c r="J14" s="1"/>
  <c r="F14"/>
  <c r="M28"/>
  <c r="M32"/>
  <c r="G10"/>
  <c r="G14" s="1"/>
  <c r="K10"/>
  <c r="G16"/>
  <c r="K16"/>
  <c r="G21"/>
  <c r="H37"/>
  <c r="H39" s="1"/>
  <c r="H54" s="1"/>
  <c r="G28"/>
  <c r="G32"/>
  <c r="E23" i="12"/>
  <c r="K23" s="1"/>
  <c r="I23"/>
  <c r="H23"/>
  <c r="F39" i="13" l="1"/>
  <c r="F54" s="1"/>
  <c r="J39"/>
  <c r="J54" s="1"/>
  <c r="G37"/>
  <c r="G39" s="1"/>
  <c r="G54" s="1"/>
  <c r="K37"/>
  <c r="O40" s="1"/>
  <c r="M16"/>
  <c r="M37" s="1"/>
  <c r="M10"/>
  <c r="K14"/>
  <c r="F23" i="12"/>
  <c r="L23" s="1"/>
  <c r="E8" i="11"/>
  <c r="I8" i="12"/>
  <c r="H8"/>
  <c r="K39" i="13" l="1"/>
  <c r="K54" s="1"/>
  <c r="M14"/>
  <c r="M39" s="1"/>
  <c r="M54" s="1"/>
  <c r="D30" i="12"/>
  <c r="J26"/>
  <c r="F26"/>
  <c r="L26" s="1"/>
  <c r="E26"/>
  <c r="K26" s="1"/>
  <c r="F17"/>
  <c r="E17"/>
  <c r="K17" s="1"/>
  <c r="F13"/>
  <c r="E13"/>
  <c r="D11"/>
  <c r="D32" s="1"/>
  <c r="I11"/>
  <c r="H11"/>
  <c r="G13" l="1"/>
  <c r="H30"/>
  <c r="H32" s="1"/>
  <c r="H45" s="1"/>
  <c r="M17"/>
  <c r="L30"/>
  <c r="F30"/>
  <c r="I30"/>
  <c r="I32" s="1"/>
  <c r="I45" s="1"/>
  <c r="M23"/>
  <c r="J23"/>
  <c r="M26"/>
  <c r="K11"/>
  <c r="J8"/>
  <c r="J11" s="1"/>
  <c r="E11"/>
  <c r="K13"/>
  <c r="G17"/>
  <c r="G26"/>
  <c r="E30"/>
  <c r="J17"/>
  <c r="G23"/>
  <c r="I8" i="11"/>
  <c r="H8"/>
  <c r="G30" i="12" l="1"/>
  <c r="J30"/>
  <c r="E32"/>
  <c r="E45" s="1"/>
  <c r="J32"/>
  <c r="J45" s="1"/>
  <c r="M13"/>
  <c r="M30" s="1"/>
  <c r="K30"/>
  <c r="D30" i="11"/>
  <c r="I26"/>
  <c r="H26"/>
  <c r="F26"/>
  <c r="L26" s="1"/>
  <c r="E26"/>
  <c r="K26" s="1"/>
  <c r="I23"/>
  <c r="H23"/>
  <c r="J23" s="1"/>
  <c r="F23"/>
  <c r="L23" s="1"/>
  <c r="E23"/>
  <c r="K23" s="1"/>
  <c r="L17"/>
  <c r="L30" s="1"/>
  <c r="I17"/>
  <c r="H17"/>
  <c r="F17"/>
  <c r="E17"/>
  <c r="K17" s="1"/>
  <c r="M17" s="1"/>
  <c r="F13"/>
  <c r="F30" s="1"/>
  <c r="E13"/>
  <c r="G13" s="1"/>
  <c r="D11"/>
  <c r="D32" s="1"/>
  <c r="I11"/>
  <c r="H11"/>
  <c r="E11"/>
  <c r="I26" i="10"/>
  <c r="H26"/>
  <c r="I30" i="11" l="1"/>
  <c r="J26"/>
  <c r="K32" i="12"/>
  <c r="K45" s="1"/>
  <c r="O33"/>
  <c r="I32" i="11"/>
  <c r="H30"/>
  <c r="H32" s="1"/>
  <c r="M23"/>
  <c r="M26"/>
  <c r="K8"/>
  <c r="K13"/>
  <c r="G17"/>
  <c r="G26"/>
  <c r="E30"/>
  <c r="E32" s="1"/>
  <c r="J8"/>
  <c r="J11" s="1"/>
  <c r="J17"/>
  <c r="J30" s="1"/>
  <c r="G23"/>
  <c r="F26" i="10"/>
  <c r="E26"/>
  <c r="K26" s="1"/>
  <c r="I17"/>
  <c r="H17"/>
  <c r="O27" i="14" l="1"/>
  <c r="R27" i="15"/>
  <c r="O23" i="12"/>
  <c r="O28" i="13"/>
  <c r="G30" i="11"/>
  <c r="K11"/>
  <c r="M13"/>
  <c r="M30" s="1"/>
  <c r="K30"/>
  <c r="J32"/>
  <c r="F17" i="10"/>
  <c r="E17"/>
  <c r="E13"/>
  <c r="I8"/>
  <c r="H8"/>
  <c r="K32" i="11" l="1"/>
  <c r="D30" i="10"/>
  <c r="J26"/>
  <c r="L26"/>
  <c r="I23"/>
  <c r="H23"/>
  <c r="F23"/>
  <c r="L23" s="1"/>
  <c r="E23"/>
  <c r="K23" s="1"/>
  <c r="L17"/>
  <c r="H30"/>
  <c r="K17"/>
  <c r="M17" s="1"/>
  <c r="F13"/>
  <c r="F30" s="1"/>
  <c r="G13"/>
  <c r="D11"/>
  <c r="D32" s="1"/>
  <c r="I11"/>
  <c r="H11"/>
  <c r="F11"/>
  <c r="E11"/>
  <c r="L30" l="1"/>
  <c r="H32"/>
  <c r="F32"/>
  <c r="I30"/>
  <c r="M23"/>
  <c r="J23"/>
  <c r="M26"/>
  <c r="I32"/>
  <c r="G8"/>
  <c r="G11" s="1"/>
  <c r="K8"/>
  <c r="K13"/>
  <c r="G17"/>
  <c r="G26"/>
  <c r="E30"/>
  <c r="E32" s="1"/>
  <c r="J8"/>
  <c r="J11" s="1"/>
  <c r="L8"/>
  <c r="L11" s="1"/>
  <c r="J17"/>
  <c r="J30" s="1"/>
  <c r="G23"/>
  <c r="L32" l="1"/>
  <c r="G30"/>
  <c r="M13"/>
  <c r="M30" s="1"/>
  <c r="K30"/>
  <c r="J32"/>
  <c r="G32"/>
  <c r="K11"/>
  <c r="M8"/>
  <c r="O8" s="1"/>
  <c r="K32" l="1"/>
  <c r="M11"/>
  <c r="M32" s="1"/>
  <c r="L17" i="7" l="1"/>
  <c r="I17"/>
  <c r="I26" l="1"/>
  <c r="H26"/>
  <c r="E26" l="1"/>
  <c r="I23"/>
  <c r="H23"/>
  <c r="J23" l="1"/>
  <c r="D30"/>
  <c r="H17"/>
  <c r="I8"/>
  <c r="H8"/>
  <c r="F26" l="1"/>
  <c r="L26" s="1"/>
  <c r="K26"/>
  <c r="I30"/>
  <c r="H30"/>
  <c r="F23"/>
  <c r="L23" s="1"/>
  <c r="E23"/>
  <c r="J17"/>
  <c r="F17"/>
  <c r="E17"/>
  <c r="F13"/>
  <c r="E13"/>
  <c r="D11"/>
  <c r="D32" s="1"/>
  <c r="I11"/>
  <c r="H11"/>
  <c r="E8"/>
  <c r="E6" i="6"/>
  <c r="K51" i="5"/>
  <c r="J51"/>
  <c r="G51"/>
  <c r="F51"/>
  <c r="D36"/>
  <c r="D38" s="1"/>
  <c r="L49"/>
  <c r="L51" s="1"/>
  <c r="I49"/>
  <c r="I51" s="1"/>
  <c r="H49"/>
  <c r="H51" s="1"/>
  <c r="K32"/>
  <c r="I32"/>
  <c r="F32"/>
  <c r="L32" s="1"/>
  <c r="M32" s="1"/>
  <c r="M49" l="1"/>
  <c r="M51" s="1"/>
  <c r="K23" i="7"/>
  <c r="M23" s="1"/>
  <c r="L30"/>
  <c r="F30"/>
  <c r="K13"/>
  <c r="M13" s="1"/>
  <c r="E30"/>
  <c r="E11"/>
  <c r="K8"/>
  <c r="I32"/>
  <c r="G17"/>
  <c r="K17"/>
  <c r="M17" s="1"/>
  <c r="H32"/>
  <c r="J26"/>
  <c r="J30" s="1"/>
  <c r="J8"/>
  <c r="J11" s="1"/>
  <c r="G13"/>
  <c r="G23"/>
  <c r="G26"/>
  <c r="E51" i="5"/>
  <c r="D51"/>
  <c r="J32"/>
  <c r="E32" i="7" l="1"/>
  <c r="K30"/>
  <c r="M26"/>
  <c r="M30" s="1"/>
  <c r="G30"/>
  <c r="K11"/>
  <c r="J32"/>
  <c r="G32" i="5"/>
  <c r="K32" i="7" l="1"/>
  <c r="J17" i="5"/>
  <c r="F17" l="1"/>
  <c r="I8"/>
  <c r="E8"/>
  <c r="I26" l="1"/>
  <c r="H26"/>
  <c r="I23"/>
  <c r="I36" s="1"/>
  <c r="H23"/>
  <c r="H36" s="1"/>
  <c r="E23"/>
  <c r="K23" s="1"/>
  <c r="F23"/>
  <c r="E13"/>
  <c r="J23" l="1"/>
  <c r="E26"/>
  <c r="H8" l="1"/>
  <c r="K8"/>
  <c r="K26" l="1"/>
  <c r="J26"/>
  <c r="J36" s="1"/>
  <c r="F26"/>
  <c r="G26" s="1"/>
  <c r="M17"/>
  <c r="E17"/>
  <c r="E36" s="1"/>
  <c r="F13"/>
  <c r="K13"/>
  <c r="K36" s="1"/>
  <c r="D11"/>
  <c r="I11"/>
  <c r="I38" s="1"/>
  <c r="F5" i="6" s="1"/>
  <c r="G5" s="1"/>
  <c r="H11" i="5"/>
  <c r="H38" s="1"/>
  <c r="F4" i="6" s="1"/>
  <c r="E11" i="5"/>
  <c r="E38" s="1"/>
  <c r="D30" i="3"/>
  <c r="D28"/>
  <c r="G16" i="2"/>
  <c r="M33" i="1"/>
  <c r="L33"/>
  <c r="K33"/>
  <c r="G33"/>
  <c r="F33"/>
  <c r="E33"/>
  <c r="D33"/>
  <c r="D39" i="4"/>
  <c r="K25"/>
  <c r="I25"/>
  <c r="H25"/>
  <c r="F25"/>
  <c r="G25" s="1"/>
  <c r="I22"/>
  <c r="I39" s="1"/>
  <c r="H22"/>
  <c r="F22"/>
  <c r="E22"/>
  <c r="K22" s="1"/>
  <c r="M16"/>
  <c r="E16"/>
  <c r="G16" s="1"/>
  <c r="F12"/>
  <c r="F39" s="1"/>
  <c r="E12"/>
  <c r="K12" s="1"/>
  <c r="D10"/>
  <c r="D41" s="1"/>
  <c r="I7"/>
  <c r="I10" s="1"/>
  <c r="H7"/>
  <c r="H10" s="1"/>
  <c r="E7"/>
  <c r="E10" s="1"/>
  <c r="K25" i="3"/>
  <c r="I25"/>
  <c r="H25"/>
  <c r="I41" i="4" l="1"/>
  <c r="F36" i="5"/>
  <c r="F6" i="6"/>
  <c r="G4"/>
  <c r="G6" s="1"/>
  <c r="J25" i="4"/>
  <c r="G17" i="5"/>
  <c r="E39" i="4"/>
  <c r="E41" s="1"/>
  <c r="M13" i="5"/>
  <c r="J8"/>
  <c r="J11" s="1"/>
  <c r="J38" s="1"/>
  <c r="G13"/>
  <c r="G23"/>
  <c r="H39" i="4"/>
  <c r="H41" s="1"/>
  <c r="K39"/>
  <c r="M12"/>
  <c r="J7"/>
  <c r="J10" s="1"/>
  <c r="G12"/>
  <c r="G22"/>
  <c r="K7"/>
  <c r="J22"/>
  <c r="G36" i="5" l="1"/>
  <c r="J39" i="4"/>
  <c r="J41" s="1"/>
  <c r="K11" i="5"/>
  <c r="K38" s="1"/>
  <c r="G39" i="4"/>
  <c r="K10"/>
  <c r="K41" l="1"/>
  <c r="I22" i="3" l="1"/>
  <c r="I28" s="1"/>
  <c r="H22"/>
  <c r="H28" s="1"/>
  <c r="F22"/>
  <c r="E22"/>
  <c r="K22" s="1"/>
  <c r="J22" l="1"/>
  <c r="F12"/>
  <c r="E12"/>
  <c r="K12" s="1"/>
  <c r="K28" s="1"/>
  <c r="J25" l="1"/>
  <c r="J28" s="1"/>
  <c r="F25" l="1"/>
  <c r="E7"/>
  <c r="K7" s="1"/>
  <c r="E16"/>
  <c r="I7"/>
  <c r="H7"/>
  <c r="J7" l="1"/>
  <c r="F28"/>
  <c r="E28"/>
  <c r="G25"/>
  <c r="G22"/>
  <c r="M16"/>
  <c r="G16"/>
  <c r="M12"/>
  <c r="G12"/>
  <c r="G28" s="1"/>
  <c r="J10"/>
  <c r="I10"/>
  <c r="H10"/>
  <c r="E10"/>
  <c r="D10"/>
  <c r="E30" l="1"/>
  <c r="I30"/>
  <c r="J30"/>
  <c r="H30"/>
  <c r="M28" i="2" l="1"/>
  <c r="L28"/>
  <c r="K28"/>
  <c r="J28"/>
  <c r="I28"/>
  <c r="H28"/>
  <c r="G28"/>
  <c r="F28"/>
  <c r="E28"/>
  <c r="D28"/>
  <c r="M25"/>
  <c r="M22"/>
  <c r="M16"/>
  <c r="M12"/>
  <c r="M7"/>
  <c r="G25"/>
  <c r="G22"/>
  <c r="G12"/>
  <c r="G7"/>
  <c r="G7" i="1"/>
  <c r="K10" i="3" l="1"/>
  <c r="K30" s="1"/>
  <c r="D10" i="2"/>
  <c r="D30" s="1"/>
  <c r="L10"/>
  <c r="L30" s="1"/>
  <c r="I10"/>
  <c r="I30" s="1"/>
  <c r="H10"/>
  <c r="H30" s="1"/>
  <c r="F10"/>
  <c r="F30" s="1"/>
  <c r="E10"/>
  <c r="I33" i="1"/>
  <c r="L30"/>
  <c r="K30"/>
  <c r="M30" s="1"/>
  <c r="J30"/>
  <c r="G30"/>
  <c r="L27"/>
  <c r="H27"/>
  <c r="J27" s="1"/>
  <c r="F27"/>
  <c r="E27"/>
  <c r="K27" s="1"/>
  <c r="M27" s="1"/>
  <c r="H26"/>
  <c r="J26" s="1"/>
  <c r="F26"/>
  <c r="E26"/>
  <c r="G26" s="1"/>
  <c r="M21"/>
  <c r="K21"/>
  <c r="J21"/>
  <c r="H21"/>
  <c r="G21"/>
  <c r="L16"/>
  <c r="H16"/>
  <c r="H33" s="1"/>
  <c r="F16"/>
  <c r="E16"/>
  <c r="K16" s="1"/>
  <c r="M16" s="1"/>
  <c r="L12"/>
  <c r="J12"/>
  <c r="F12"/>
  <c r="E12"/>
  <c r="K12" s="1"/>
  <c r="D10"/>
  <c r="D35" s="1"/>
  <c r="L7"/>
  <c r="L10" s="1"/>
  <c r="L35" s="1"/>
  <c r="I7"/>
  <c r="I10" s="1"/>
  <c r="I35" s="1"/>
  <c r="H7"/>
  <c r="H10" s="1"/>
  <c r="H35" s="1"/>
  <c r="F7"/>
  <c r="F10" s="1"/>
  <c r="F35" s="1"/>
  <c r="E7"/>
  <c r="E10" s="1"/>
  <c r="G10" i="2" l="1"/>
  <c r="E30"/>
  <c r="J10"/>
  <c r="M12" i="1"/>
  <c r="G10"/>
  <c r="K7"/>
  <c r="G16"/>
  <c r="J16"/>
  <c r="J33" s="1"/>
  <c r="K26"/>
  <c r="M26" s="1"/>
  <c r="G27"/>
  <c r="E35"/>
  <c r="J7"/>
  <c r="J10" s="1"/>
  <c r="G12"/>
  <c r="G30" i="2" l="1"/>
  <c r="K10"/>
  <c r="K30" s="1"/>
  <c r="J30"/>
  <c r="G35" i="1"/>
  <c r="K10"/>
  <c r="M7"/>
  <c r="J35"/>
  <c r="M10" i="2" l="1"/>
  <c r="M30" s="1"/>
  <c r="K35" i="1"/>
  <c r="M10"/>
  <c r="M35" s="1"/>
  <c r="L23" i="5" l="1"/>
  <c r="L22" i="3"/>
  <c r="L22" i="4"/>
  <c r="M22" l="1"/>
  <c r="M23" i="5"/>
  <c r="M22" i="3"/>
  <c r="F8" i="11" l="1"/>
  <c r="F8" i="7"/>
  <c r="F7" i="4"/>
  <c r="F7" i="3"/>
  <c r="F11" i="14"/>
  <c r="F8" i="12"/>
  <c r="F8" i="5"/>
  <c r="G8" l="1"/>
  <c r="G11" s="1"/>
  <c r="G38" s="1"/>
  <c r="L8"/>
  <c r="F11"/>
  <c r="F38" s="1"/>
  <c r="F14" i="14"/>
  <c r="F38" s="1"/>
  <c r="F53" s="1"/>
  <c r="L11"/>
  <c r="G11"/>
  <c r="G14" s="1"/>
  <c r="G38" s="1"/>
  <c r="G53" s="1"/>
  <c r="F10" i="4"/>
  <c r="F41" s="1"/>
  <c r="G7"/>
  <c r="G10" s="1"/>
  <c r="G41" s="1"/>
  <c r="G8" i="11"/>
  <c r="G11" s="1"/>
  <c r="G32" s="1"/>
  <c r="L8"/>
  <c r="F11"/>
  <c r="F32" s="1"/>
  <c r="L8" i="12"/>
  <c r="F11"/>
  <c r="F32" s="1"/>
  <c r="F45" s="1"/>
  <c r="G8"/>
  <c r="G11" s="1"/>
  <c r="G32" s="1"/>
  <c r="G45" s="1"/>
  <c r="G7" i="3"/>
  <c r="G10" s="1"/>
  <c r="G30" s="1"/>
  <c r="F10"/>
  <c r="F30" s="1"/>
  <c r="L8" i="7"/>
  <c r="F11"/>
  <c r="F32" s="1"/>
  <c r="G8"/>
  <c r="G11" s="1"/>
  <c r="G32" s="1"/>
  <c r="M8" l="1"/>
  <c r="L11"/>
  <c r="M11" i="14"/>
  <c r="L14"/>
  <c r="L7" i="3"/>
  <c r="L7" i="4"/>
  <c r="M8" i="12"/>
  <c r="L11"/>
  <c r="M8" i="11"/>
  <c r="R10" i="15" s="1"/>
  <c r="L11" i="11"/>
  <c r="M8" i="5"/>
  <c r="L11"/>
  <c r="M11" s="1"/>
  <c r="O8" i="12" l="1"/>
  <c r="M7" i="3"/>
  <c r="L10"/>
  <c r="M10" s="1"/>
  <c r="O10" i="14"/>
  <c r="O8" i="11"/>
  <c r="O10" i="13"/>
  <c r="M11" i="11"/>
  <c r="M32" s="1"/>
  <c r="L32"/>
  <c r="M11" i="12"/>
  <c r="M32" s="1"/>
  <c r="M45" s="1"/>
  <c r="L32"/>
  <c r="L45" s="1"/>
  <c r="M7" i="4"/>
  <c r="L10"/>
  <c r="M10" s="1"/>
  <c r="L38" i="14"/>
  <c r="L53" s="1"/>
  <c r="M14"/>
  <c r="M38" s="1"/>
  <c r="M53" s="1"/>
  <c r="M11" i="7"/>
  <c r="M32" s="1"/>
  <c r="L32"/>
  <c r="L25" i="4" l="1"/>
  <c r="L26" i="5"/>
  <c r="L25" i="3"/>
  <c r="M25" l="1"/>
  <c r="M28" s="1"/>
  <c r="M30" s="1"/>
  <c r="L28"/>
  <c r="L30" s="1"/>
  <c r="M25" i="4"/>
  <c r="M39" s="1"/>
  <c r="M41" s="1"/>
  <c r="L39"/>
  <c r="L41" s="1"/>
  <c r="M26" i="5"/>
  <c r="M36" s="1"/>
  <c r="M38" s="1"/>
  <c r="L36"/>
  <c r="L38" s="1"/>
</calcChain>
</file>

<file path=xl/sharedStrings.xml><?xml version="1.0" encoding="utf-8"?>
<sst xmlns="http://schemas.openxmlformats.org/spreadsheetml/2006/main" count="882" uniqueCount="109">
  <si>
    <t>STATEMENT OF DEBT SERVICE</t>
  </si>
  <si>
    <t>As of December 31, 2014</t>
  </si>
  <si>
    <t>City of Tagum</t>
  </si>
  <si>
    <t>CREDITOR</t>
  </si>
  <si>
    <t xml:space="preserve">DATE </t>
  </si>
  <si>
    <t>TERM</t>
  </si>
  <si>
    <t xml:space="preserve">PRINCIPAL </t>
  </si>
  <si>
    <t>LOAN DUE FOR 2014</t>
  </si>
  <si>
    <t>LOAN BALANCE</t>
  </si>
  <si>
    <t>AMOUNT</t>
  </si>
  <si>
    <t>PRINCIPAL</t>
  </si>
  <si>
    <t xml:space="preserve">INTEREST </t>
  </si>
  <si>
    <t>TOTAL</t>
  </si>
  <si>
    <t>PHILIPPINE NATIONAL BANK</t>
  </si>
  <si>
    <t xml:space="preserve">  August 19, 2011</t>
  </si>
  <si>
    <t>Interest Rate: 7.75% per annum (net of GRT)</t>
  </si>
  <si>
    <t>Period of payment: 10 years inclusive of 1year grace period on principal</t>
  </si>
  <si>
    <t xml:space="preserve">Billing period: Monthly </t>
  </si>
  <si>
    <t>Subtotal</t>
  </si>
  <si>
    <t>DEVELOPMENT BANK OF THE PHILIPPINES</t>
  </si>
  <si>
    <t>NEW TAGUM CITY HALL (200M)</t>
  </si>
  <si>
    <t xml:space="preserve">  March 6, 2009</t>
  </si>
  <si>
    <t>Interest Rate: 7.5% per annum (fixed rate)</t>
  </si>
  <si>
    <t>Period of payment: 6 years</t>
  </si>
  <si>
    <t>Billing period: Quarterly</t>
  </si>
  <si>
    <t>VARIOUS LOANS (400M)</t>
  </si>
  <si>
    <t xml:space="preserve">Interest Rate: Variable, presently 6.50% per annum </t>
  </si>
  <si>
    <t xml:space="preserve">     New City Hall w/ Annex</t>
  </si>
  <si>
    <t>various dates</t>
  </si>
  <si>
    <t>inclusive of GRT (reviewable monthly)</t>
  </si>
  <si>
    <t>Period of payment: 7 years with one year grace period</t>
  </si>
  <si>
    <t xml:space="preserve">     Heavy Equipment/ Utility Vehicles</t>
  </si>
  <si>
    <t>Interest Rate: Variable, presently 6.30% per annum (reviewable monthly)</t>
  </si>
  <si>
    <t xml:space="preserve">     Land Acquisition</t>
  </si>
  <si>
    <t>Interest Rate: Variable, presently 6.50% per annum exclusive of GRT</t>
  </si>
  <si>
    <t>October 2,2009</t>
  </si>
  <si>
    <t>Period of payment:  5years with 6 months grace period</t>
  </si>
  <si>
    <t>September 29,2010</t>
  </si>
  <si>
    <t>Completion of New City Hall</t>
  </si>
  <si>
    <t>Approved Loan (231M)</t>
  </si>
  <si>
    <t>Period of payment: 10 years with 2 years  grace period</t>
  </si>
  <si>
    <t>May 21, 2013</t>
  </si>
  <si>
    <t xml:space="preserve">SUB TOTAL </t>
  </si>
  <si>
    <t>GRAND TOTAL</t>
  </si>
  <si>
    <t>Prepared by:</t>
  </si>
  <si>
    <t>Certified Correct:</t>
  </si>
  <si>
    <t>RAMIL Y. TIU, CPA</t>
  </si>
  <si>
    <t xml:space="preserve">  Bookkeeper I</t>
  </si>
  <si>
    <t>City Accountant</t>
  </si>
  <si>
    <t>ANTHONY MARK A. LONZAGA, CPA</t>
  </si>
  <si>
    <t>PAYMENTS MADE AS OF JANUARY 31,  2015</t>
  </si>
  <si>
    <t>LOAN DUE FOR 2015</t>
  </si>
  <si>
    <t>Period of payment: 10 years inclusive of 1 year grace period on principal</t>
  </si>
  <si>
    <t>As of January 31, 2015</t>
  </si>
  <si>
    <t>As of February 28, 2015</t>
  </si>
  <si>
    <t>PAYMENTS MADE AS OF FEBRUARY 28,  2015</t>
  </si>
  <si>
    <t>Sub-total</t>
  </si>
  <si>
    <t>Unreleased Loans</t>
  </si>
  <si>
    <t>Construction of School Building (SEF)</t>
  </si>
  <si>
    <t>Interest Rate: Fixed, 5% per annum</t>
  </si>
  <si>
    <t>Period of payment: 10 years with 1 years  grace period</t>
  </si>
  <si>
    <t>PAYMENTS MADE AS OF DECEMBER  2015</t>
  </si>
  <si>
    <t>LOAN DUE FOR 2016</t>
  </si>
  <si>
    <t>July 2015</t>
  </si>
  <si>
    <t>(assumed date)</t>
  </si>
  <si>
    <t>Unreleased Loans (DBP)</t>
  </si>
  <si>
    <t>SPECIAL EDUCATION FUND</t>
  </si>
  <si>
    <t>GENERAL FUND</t>
  </si>
  <si>
    <t>September 2015</t>
  </si>
  <si>
    <t>Financial Expenses</t>
  </si>
  <si>
    <t>Interest Expenses</t>
  </si>
  <si>
    <t>Loans Payable</t>
  </si>
  <si>
    <t>Annual Budget 2015</t>
  </si>
  <si>
    <t>Loans Due for 2016</t>
  </si>
  <si>
    <t>Code</t>
  </si>
  <si>
    <t>Total</t>
  </si>
  <si>
    <t>Increase/(Decrease)</t>
  </si>
  <si>
    <t>Comparative Presentation</t>
  </si>
  <si>
    <t>PAYMENTS MADE AS OF APRIL  2015</t>
  </si>
  <si>
    <t>AS OF APRIL 2015</t>
  </si>
  <si>
    <t>AS OF MAY 2015</t>
  </si>
  <si>
    <t>PAYMENTS MADE AS OF MAY  2015</t>
  </si>
  <si>
    <t>AS OF JUNE 2015</t>
  </si>
  <si>
    <t>PAYMENTS MADE AS OF JUNE 2015</t>
  </si>
  <si>
    <t>AS OF JULY 2015</t>
  </si>
  <si>
    <t>PAYMENTS MADE AS OF JULY 2015</t>
  </si>
  <si>
    <t>JEMARIE A. TEDLOS, CPA</t>
  </si>
  <si>
    <t>AS OF AUGUST 2015</t>
  </si>
  <si>
    <t>PAYMENTS MADE AS OF AUGUST 2015</t>
  </si>
  <si>
    <t>AS OF SEPTEMBER 2015</t>
  </si>
  <si>
    <t>PAYMENTS MADE AS OF SEPTEMBER 2015</t>
  </si>
  <si>
    <t>AS OF OCTOBER 2015</t>
  </si>
  <si>
    <t>PAYMENTS MADE AS OF OCTOBER 2015</t>
  </si>
  <si>
    <t>AS OF NOVEMBER 2015</t>
  </si>
  <si>
    <t>PAYMENTS MADE AS OF NOVEMBER 2015</t>
  </si>
  <si>
    <t>JEMARIE A. TEDLOS, CPA, MBA</t>
  </si>
  <si>
    <t>September 29, 2010</t>
  </si>
  <si>
    <t>Interest Rate: Variable, presently 6.50% per annum inclusive of GRT (reviewable monthly)</t>
  </si>
  <si>
    <t>SCHOOL BUILDINGS (80M)</t>
  </si>
  <si>
    <t>December 3, 2015</t>
  </si>
  <si>
    <t>Interest Rate: 5% per annum (fixed rate)</t>
  </si>
  <si>
    <t>Period of payment: 10 years with 12 months grace period</t>
  </si>
  <si>
    <t>GRT</t>
  </si>
  <si>
    <t>December 4, 2015</t>
  </si>
  <si>
    <t xml:space="preserve">Interest Rate: Variable, presently 5.50% per annum </t>
  </si>
  <si>
    <t>Period of payment: 7 years &amp; 6 months</t>
  </si>
  <si>
    <t>AS OF DECEMBER 31, 2015</t>
  </si>
  <si>
    <t>PAYMENTS MADE AS OF DECEMBER 31, 2015</t>
  </si>
  <si>
    <r>
      <t xml:space="preserve">LOAN BALANCE </t>
    </r>
    <r>
      <rPr>
        <sz val="10"/>
        <rFont val="Arial"/>
        <family val="2"/>
      </rPr>
      <t xml:space="preserve">(As of </t>
    </r>
    <r>
      <rPr>
        <b/>
        <sz val="10"/>
        <rFont val="Arial"/>
        <family val="2"/>
      </rPr>
      <t>December 31, 2015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</si>
</sst>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3" fontId="6" fillId="0" borderId="14" xfId="1" applyFont="1" applyFill="1" applyBorder="1"/>
    <xf numFmtId="43" fontId="6" fillId="0" borderId="0" xfId="1" applyFont="1" applyFill="1" applyBorder="1"/>
    <xf numFmtId="43" fontId="6" fillId="0" borderId="15" xfId="1" applyFont="1" applyFill="1" applyBorder="1" applyAlignment="1"/>
    <xf numFmtId="43" fontId="6" fillId="0" borderId="2" xfId="1" applyFont="1" applyFill="1" applyBorder="1"/>
    <xf numFmtId="43" fontId="6" fillId="0" borderId="16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7" xfId="0" applyFont="1" applyFill="1" applyBorder="1"/>
    <xf numFmtId="0" fontId="3" fillId="0" borderId="14" xfId="0" applyFont="1" applyFill="1" applyBorder="1" applyAlignment="1">
      <alignment horizontal="left" indent="1"/>
    </xf>
    <xf numFmtId="0" fontId="6" fillId="0" borderId="14" xfId="0" applyFont="1" applyFill="1" applyBorder="1"/>
    <xf numFmtId="0" fontId="6" fillId="0" borderId="18" xfId="0" applyFont="1" applyFill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indent="1"/>
    </xf>
    <xf numFmtId="43" fontId="6" fillId="0" borderId="19" xfId="1" applyFont="1" applyFill="1" applyBorder="1"/>
    <xf numFmtId="43" fontId="6" fillId="0" borderId="20" xfId="1" applyFont="1" applyFill="1" applyBorder="1" applyAlignment="1"/>
    <xf numFmtId="0" fontId="5" fillId="0" borderId="21" xfId="0" applyFont="1" applyFill="1" applyBorder="1" applyAlignment="1">
      <alignment horizontal="center"/>
    </xf>
    <xf numFmtId="43" fontId="5" fillId="0" borderId="19" xfId="1" applyFont="1" applyFill="1" applyBorder="1"/>
    <xf numFmtId="43" fontId="5" fillId="0" borderId="19" xfId="1" applyFont="1" applyFill="1" applyBorder="1" applyAlignment="1"/>
    <xf numFmtId="43" fontId="5" fillId="0" borderId="22" xfId="0" applyNumberFormat="1" applyFont="1" applyFill="1" applyBorder="1"/>
    <xf numFmtId="0" fontId="5" fillId="0" borderId="18" xfId="0" applyFont="1" applyFill="1" applyBorder="1"/>
    <xf numFmtId="0" fontId="6" fillId="0" borderId="16" xfId="0" applyFont="1" applyFill="1" applyBorder="1"/>
    <xf numFmtId="0" fontId="5" fillId="0" borderId="23" xfId="0" applyFont="1" applyFill="1" applyBorder="1"/>
    <xf numFmtId="43" fontId="6" fillId="0" borderId="14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14" xfId="1" applyFont="1" applyFill="1" applyBorder="1" applyAlignment="1">
      <alignment vertical="center"/>
    </xf>
    <xf numFmtId="43" fontId="6" fillId="0" borderId="16" xfId="1" applyFont="1" applyFill="1" applyBorder="1" applyAlignment="1">
      <alignment horizontal="center"/>
    </xf>
    <xf numFmtId="0" fontId="5" fillId="0" borderId="17" xfId="0" applyFont="1" applyFill="1" applyBorder="1"/>
    <xf numFmtId="0" fontId="6" fillId="0" borderId="14" xfId="0" applyFont="1" applyFill="1" applyBorder="1" applyAlignment="1">
      <alignment horizontal="left" indent="1"/>
    </xf>
    <xf numFmtId="0" fontId="5" fillId="0" borderId="24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5" xfId="0" applyFont="1" applyFill="1" applyBorder="1"/>
    <xf numFmtId="43" fontId="6" fillId="0" borderId="0" xfId="0" applyNumberFormat="1" applyFont="1" applyFill="1" applyBorder="1"/>
    <xf numFmtId="0" fontId="5" fillId="0" borderId="26" xfId="0" applyFont="1" applyFill="1" applyBorder="1"/>
    <xf numFmtId="43" fontId="6" fillId="0" borderId="14" xfId="1" applyFont="1" applyFill="1" applyBorder="1" applyAlignment="1"/>
    <xf numFmtId="15" fontId="6" fillId="0" borderId="14" xfId="0" applyNumberFormat="1" applyFont="1" applyFill="1" applyBorder="1" applyAlignment="1">
      <alignment horizontal="center"/>
    </xf>
    <xf numFmtId="43" fontId="6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vertical="center"/>
    </xf>
    <xf numFmtId="0" fontId="6" fillId="0" borderId="24" xfId="0" applyFont="1" applyFill="1" applyBorder="1"/>
    <xf numFmtId="15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vertical="center"/>
    </xf>
    <xf numFmtId="43" fontId="6" fillId="0" borderId="19" xfId="1" applyFont="1" applyFill="1" applyBorder="1" applyAlignment="1">
      <alignment vertical="center"/>
    </xf>
    <xf numFmtId="43" fontId="6" fillId="0" borderId="25" xfId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28" xfId="0" applyFont="1" applyFill="1" applyBorder="1" applyAlignment="1">
      <alignment horizontal="left" indent="1"/>
    </xf>
    <xf numFmtId="43" fontId="5" fillId="0" borderId="29" xfId="1" applyFont="1" applyFill="1" applyBorder="1"/>
    <xf numFmtId="43" fontId="5" fillId="0" borderId="28" xfId="1" applyFont="1" applyFill="1" applyBorder="1"/>
    <xf numFmtId="43" fontId="5" fillId="0" borderId="29" xfId="1" applyFont="1" applyFill="1" applyBorder="1" applyAlignment="1"/>
    <xf numFmtId="43" fontId="5" fillId="0" borderId="30" xfId="0" applyNumberFormat="1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3" fontId="6" fillId="0" borderId="15" xfId="1" applyFont="1" applyFill="1" applyBorder="1"/>
    <xf numFmtId="43" fontId="5" fillId="0" borderId="14" xfId="1" applyFont="1" applyFill="1" applyBorder="1"/>
    <xf numFmtId="15" fontId="6" fillId="0" borderId="31" xfId="0" quotePrefix="1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43" fontId="6" fillId="0" borderId="20" xfId="1" applyFont="1" applyFill="1" applyBorder="1"/>
    <xf numFmtId="43" fontId="6" fillId="0" borderId="33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indent="1"/>
    </xf>
    <xf numFmtId="43" fontId="5" fillId="0" borderId="34" xfId="1" applyFont="1" applyFill="1" applyBorder="1"/>
    <xf numFmtId="43" fontId="5" fillId="0" borderId="34" xfId="1" applyFont="1" applyFill="1" applyBorder="1" applyAlignment="1"/>
    <xf numFmtId="43" fontId="5" fillId="0" borderId="35" xfId="0" applyNumberFormat="1" applyFont="1" applyFill="1" applyBorder="1"/>
    <xf numFmtId="0" fontId="5" fillId="0" borderId="34" xfId="0" applyFont="1" applyFill="1" applyBorder="1" applyAlignment="1">
      <alignment horizontal="center"/>
    </xf>
    <xf numFmtId="43" fontId="5" fillId="0" borderId="36" xfId="1" applyFont="1" applyFill="1" applyBorder="1"/>
    <xf numFmtId="0" fontId="5" fillId="0" borderId="3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3" fontId="5" fillId="0" borderId="39" xfId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 indent="4"/>
    </xf>
    <xf numFmtId="43" fontId="6" fillId="0" borderId="0" xfId="1" applyFont="1" applyFill="1" applyAlignment="1">
      <alignment horizontal="left"/>
    </xf>
    <xf numFmtId="0" fontId="6" fillId="0" borderId="0" xfId="0" applyFont="1" applyFill="1" applyAlignment="1">
      <alignment horizontal="left"/>
    </xf>
    <xf numFmtId="43" fontId="6" fillId="0" borderId="0" xfId="1" applyFont="1" applyFill="1"/>
    <xf numFmtId="43" fontId="6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5" fillId="0" borderId="25" xfId="1" applyFont="1" applyFill="1" applyBorder="1"/>
    <xf numFmtId="43" fontId="5" fillId="0" borderId="36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5" fontId="6" fillId="0" borderId="32" xfId="0" quotePrefix="1" applyNumberFormat="1" applyFont="1" applyFill="1" applyBorder="1" applyAlignment="1">
      <alignment horizontal="center"/>
    </xf>
    <xf numFmtId="43" fontId="6" fillId="0" borderId="33" xfId="0" applyNumberFormat="1" applyFont="1" applyFill="1" applyBorder="1" applyAlignment="1">
      <alignment horizontal="center"/>
    </xf>
    <xf numFmtId="0" fontId="6" fillId="0" borderId="26" xfId="0" applyFont="1" applyFill="1" applyBorder="1"/>
    <xf numFmtId="15" fontId="6" fillId="0" borderId="3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2" xfId="1" applyFont="1" applyFill="1" applyBorder="1"/>
    <xf numFmtId="43" fontId="5" fillId="0" borderId="40" xfId="1" applyFont="1" applyFill="1" applyBorder="1"/>
    <xf numFmtId="0" fontId="5" fillId="0" borderId="14" xfId="0" applyFont="1" applyFill="1" applyBorder="1" applyAlignment="1">
      <alignment horizontal="center"/>
    </xf>
    <xf numFmtId="43" fontId="5" fillId="0" borderId="41" xfId="1" applyFont="1" applyFill="1" applyBorder="1"/>
    <xf numFmtId="43" fontId="5" fillId="0" borderId="8" xfId="1" applyFont="1" applyFill="1" applyBorder="1"/>
    <xf numFmtId="43" fontId="5" fillId="0" borderId="42" xfId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43" fontId="6" fillId="0" borderId="41" xfId="1" applyFont="1" applyFill="1" applyBorder="1"/>
    <xf numFmtId="0" fontId="6" fillId="0" borderId="8" xfId="0" applyFont="1" applyFill="1" applyBorder="1" applyAlignment="1">
      <alignment horizontal="center"/>
    </xf>
    <xf numFmtId="17" fontId="6" fillId="0" borderId="14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3" fontId="0" fillId="0" borderId="0" xfId="1" applyFont="1"/>
    <xf numFmtId="43" fontId="0" fillId="0" borderId="43" xfId="1" applyFont="1" applyBorder="1"/>
    <xf numFmtId="43" fontId="0" fillId="0" borderId="0" xfId="0" applyNumberFormat="1"/>
    <xf numFmtId="43" fontId="0" fillId="0" borderId="43" xfId="0" applyNumberFormat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3" fontId="10" fillId="0" borderId="0" xfId="1" applyFont="1" applyFill="1"/>
    <xf numFmtId="0" fontId="10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6" fillId="0" borderId="31" xfId="0" applyFont="1" applyFill="1" applyBorder="1"/>
    <xf numFmtId="43" fontId="5" fillId="0" borderId="15" xfId="1" applyFont="1" applyFill="1" applyBorder="1"/>
    <xf numFmtId="43" fontId="5" fillId="0" borderId="15" xfId="1" applyFont="1" applyFill="1" applyBorder="1" applyAlignment="1"/>
    <xf numFmtId="43" fontId="5" fillId="0" borderId="16" xfId="0" applyNumberFormat="1" applyFont="1" applyFill="1" applyBorder="1"/>
    <xf numFmtId="0" fontId="6" fillId="0" borderId="45" xfId="0" applyFont="1" applyFill="1" applyBorder="1"/>
    <xf numFmtId="0" fontId="6" fillId="0" borderId="27" xfId="0" applyFont="1" applyFill="1" applyBorder="1" applyAlignment="1">
      <alignment horizontal="center"/>
    </xf>
    <xf numFmtId="43" fontId="6" fillId="0" borderId="29" xfId="1" applyFont="1" applyFill="1" applyBorder="1"/>
    <xf numFmtId="43" fontId="6" fillId="0" borderId="28" xfId="1" applyFont="1" applyFill="1" applyBorder="1"/>
    <xf numFmtId="43" fontId="6" fillId="0" borderId="29" xfId="1" applyFont="1" applyFill="1" applyBorder="1" applyAlignment="1"/>
    <xf numFmtId="43" fontId="6" fillId="0" borderId="30" xfId="0" applyNumberFormat="1" applyFont="1" applyFill="1" applyBorder="1" applyAlignment="1">
      <alignment horizontal="center"/>
    </xf>
    <xf numFmtId="43" fontId="6" fillId="0" borderId="41" xfId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4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43" fontId="5" fillId="0" borderId="46" xfId="1" applyFont="1" applyFill="1" applyBorder="1"/>
    <xf numFmtId="43" fontId="5" fillId="0" borderId="2" xfId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/>
    </xf>
    <xf numFmtId="0" fontId="4" fillId="0" borderId="24" xfId="0" applyFont="1" applyFill="1" applyBorder="1"/>
    <xf numFmtId="0" fontId="3" fillId="0" borderId="17" xfId="0" applyFont="1" applyFill="1" applyBorder="1"/>
    <xf numFmtId="0" fontId="3" fillId="0" borderId="14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16" xfId="0" applyFont="1" applyFill="1" applyBorder="1"/>
    <xf numFmtId="43" fontId="3" fillId="0" borderId="0" xfId="0" applyNumberFormat="1" applyFont="1" applyFill="1" applyBorder="1"/>
    <xf numFmtId="0" fontId="3" fillId="0" borderId="14" xfId="0" applyFont="1" applyFill="1" applyBorder="1" applyAlignment="1">
      <alignment horizontal="center"/>
    </xf>
    <xf numFmtId="43" fontId="3" fillId="0" borderId="14" xfId="1" applyFont="1" applyFill="1" applyBorder="1"/>
    <xf numFmtId="43" fontId="3" fillId="0" borderId="15" xfId="1" applyFont="1" applyFill="1" applyBorder="1"/>
    <xf numFmtId="43" fontId="3" fillId="0" borderId="15" xfId="1" applyFont="1" applyFill="1" applyBorder="1" applyAlignment="1"/>
    <xf numFmtId="43" fontId="3" fillId="0" borderId="16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indent="1"/>
    </xf>
    <xf numFmtId="43" fontId="3" fillId="0" borderId="19" xfId="1" applyFont="1" applyFill="1" applyBorder="1"/>
    <xf numFmtId="43" fontId="3" fillId="0" borderId="20" xfId="1" applyFont="1" applyFill="1" applyBorder="1"/>
    <xf numFmtId="43" fontId="3" fillId="0" borderId="20" xfId="1" applyFont="1" applyFill="1" applyBorder="1" applyAlignment="1"/>
    <xf numFmtId="0" fontId="4" fillId="0" borderId="21" xfId="0" applyFont="1" applyFill="1" applyBorder="1" applyAlignment="1">
      <alignment horizontal="center"/>
    </xf>
    <xf numFmtId="43" fontId="4" fillId="0" borderId="19" xfId="1" applyFont="1" applyFill="1" applyBorder="1"/>
    <xf numFmtId="43" fontId="4" fillId="0" borderId="19" xfId="1" applyFont="1" applyFill="1" applyBorder="1" applyAlignment="1"/>
    <xf numFmtId="43" fontId="4" fillId="0" borderId="34" xfId="1" applyFont="1" applyFill="1" applyBorder="1"/>
    <xf numFmtId="43" fontId="4" fillId="0" borderId="22" xfId="0" applyNumberFormat="1" applyFont="1" applyFill="1" applyBorder="1"/>
    <xf numFmtId="0" fontId="4" fillId="0" borderId="17" xfId="0" applyFont="1" applyFill="1" applyBorder="1"/>
    <xf numFmtId="43" fontId="3" fillId="0" borderId="14" xfId="1" applyFont="1" applyFill="1" applyBorder="1" applyAlignment="1">
      <alignment horizontal="center"/>
    </xf>
    <xf numFmtId="43" fontId="3" fillId="0" borderId="14" xfId="1" applyFont="1" applyFill="1" applyBorder="1" applyAlignment="1">
      <alignment vertical="center"/>
    </xf>
    <xf numFmtId="43" fontId="3" fillId="0" borderId="16" xfId="1" applyFont="1" applyFill="1" applyBorder="1" applyAlignment="1">
      <alignment horizontal="center"/>
    </xf>
    <xf numFmtId="0" fontId="4" fillId="0" borderId="26" xfId="0" applyFont="1" applyFill="1" applyBorder="1"/>
    <xf numFmtId="0" fontId="3" fillId="0" borderId="15" xfId="0" applyFont="1" applyFill="1" applyBorder="1" applyAlignment="1">
      <alignment horizontal="center"/>
    </xf>
    <xf numFmtId="15" fontId="3" fillId="0" borderId="32" xfId="0" quotePrefix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indent="1"/>
    </xf>
    <xf numFmtId="43" fontId="3" fillId="0" borderId="33" xfId="0" applyNumberFormat="1" applyFont="1" applyFill="1" applyBorder="1" applyAlignment="1">
      <alignment horizontal="center"/>
    </xf>
    <xf numFmtId="43" fontId="3" fillId="0" borderId="14" xfId="1" applyFont="1" applyFill="1" applyBorder="1" applyAlignment="1"/>
    <xf numFmtId="15" fontId="3" fillId="0" borderId="14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center"/>
    </xf>
    <xf numFmtId="0" fontId="3" fillId="0" borderId="45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indent="1"/>
    </xf>
    <xf numFmtId="43" fontId="3" fillId="0" borderId="29" xfId="1" applyFont="1" applyFill="1" applyBorder="1"/>
    <xf numFmtId="43" fontId="3" fillId="0" borderId="28" xfId="1" applyFont="1" applyFill="1" applyBorder="1"/>
    <xf numFmtId="43" fontId="3" fillId="0" borderId="29" xfId="1" applyFont="1" applyFill="1" applyBorder="1" applyAlignment="1"/>
    <xf numFmtId="43" fontId="3" fillId="0" borderId="3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/>
    <xf numFmtId="43" fontId="4" fillId="0" borderId="15" xfId="1" applyFont="1" applyFill="1" applyBorder="1"/>
    <xf numFmtId="43" fontId="4" fillId="0" borderId="14" xfId="1" applyFont="1" applyFill="1" applyBorder="1"/>
    <xf numFmtId="43" fontId="4" fillId="0" borderId="15" xfId="1" applyFont="1" applyFill="1" applyBorder="1" applyAlignment="1"/>
    <xf numFmtId="43" fontId="4" fillId="0" borderId="16" xfId="0" applyNumberFormat="1" applyFont="1" applyFill="1" applyBorder="1"/>
    <xf numFmtId="0" fontId="3" fillId="0" borderId="31" xfId="0" applyFont="1" applyFill="1" applyBorder="1" applyAlignment="1">
      <alignment horizontal="center"/>
    </xf>
    <xf numFmtId="15" fontId="3" fillId="0" borderId="31" xfId="0" quotePrefix="1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3" fontId="4" fillId="0" borderId="39" xfId="1" applyFont="1" applyFill="1" applyBorder="1"/>
    <xf numFmtId="43" fontId="4" fillId="0" borderId="46" xfId="1" applyFont="1" applyFill="1" applyBorder="1"/>
    <xf numFmtId="43" fontId="3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3" fontId="11" fillId="0" borderId="0" xfId="1" applyFont="1" applyFill="1"/>
    <xf numFmtId="0" fontId="11" fillId="0" borderId="0" xfId="0" applyFont="1" applyFill="1" applyBorder="1"/>
    <xf numFmtId="0" fontId="12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14" fillId="0" borderId="14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43" fontId="4" fillId="0" borderId="36" xfId="1" applyFont="1" applyFill="1" applyBorder="1"/>
    <xf numFmtId="0" fontId="13" fillId="0" borderId="14" xfId="0" quotePrefix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/>
    <xf numFmtId="43" fontId="15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left" indent="4"/>
    </xf>
    <xf numFmtId="43" fontId="15" fillId="0" borderId="0" xfId="1" applyFont="1" applyFill="1" applyAlignment="1">
      <alignment horizontal="left"/>
    </xf>
    <xf numFmtId="0" fontId="15" fillId="0" borderId="0" xfId="0" applyFont="1" applyFill="1" applyAlignment="1">
      <alignment horizontal="left"/>
    </xf>
    <xf numFmtId="43" fontId="15" fillId="0" borderId="0" xfId="1" applyFont="1" applyFill="1"/>
    <xf numFmtId="43" fontId="15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Schedule%20of%20Loan%20Payments/Loan%20Paymen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DILG%20Posting%20Requirements/2015%20-%203rd%20Quarter/Statement%20of%20Debt%20Service%20-%20As%20of%20September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Summary%20Statement%20of%20Long%20Term%20Obligations%20and%20Indebtednes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80M%20(sef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162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8.3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115.5M%20(231M%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162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26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on%20files%20-%202015/Loans/Loans%20Computation/Computation%20for%2026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115.5M%20(231M%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EJE%20FILES/LOANS/Loans/Loans%20Computation/Computation%20for%208.3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B 162M"/>
      <sheetName val="NEW CITY HALL (231M)"/>
      <sheetName val="NEW CITY HALL (200M)"/>
      <sheetName val="CONSOL NEW CITY HALL (264)"/>
      <sheetName val="LAND (8.3M)"/>
      <sheetName val="BALANCES"/>
      <sheetName val="INTEREST"/>
    </sheetNames>
    <sheetDataSet>
      <sheetData sheetId="0">
        <row r="54">
          <cell r="F54">
            <v>665013.69999999995</v>
          </cell>
        </row>
        <row r="63">
          <cell r="F63">
            <v>46575739.744246565</v>
          </cell>
          <cell r="G63">
            <v>60000000</v>
          </cell>
        </row>
      </sheetData>
      <sheetData sheetId="1">
        <row r="19">
          <cell r="F19">
            <v>18560562.810000002</v>
          </cell>
          <cell r="G19">
            <v>7218750</v>
          </cell>
        </row>
      </sheetData>
      <sheetData sheetId="2" refreshError="1">
        <row r="108">
          <cell r="F108">
            <v>53316189.390000001</v>
          </cell>
          <cell r="G108">
            <v>199999999.98999998</v>
          </cell>
        </row>
      </sheetData>
      <sheetData sheetId="3">
        <row r="207">
          <cell r="E207">
            <v>1054090.03</v>
          </cell>
        </row>
        <row r="208">
          <cell r="E208">
            <v>879329.69</v>
          </cell>
        </row>
        <row r="213">
          <cell r="E213">
            <v>70534166</v>
          </cell>
          <cell r="F213">
            <v>242000000</v>
          </cell>
        </row>
      </sheetData>
      <sheetData sheetId="4">
        <row r="53">
          <cell r="E53">
            <v>77896.990000000005</v>
          </cell>
          <cell r="F53">
            <v>349666.67</v>
          </cell>
        </row>
        <row r="69">
          <cell r="E69">
            <v>2194093.2800000003</v>
          </cell>
          <cell r="F69">
            <v>5944333.3899999997</v>
          </cell>
        </row>
      </sheetData>
      <sheetData sheetId="5" refreshError="1"/>
      <sheetData sheetId="6" refreshError="1">
        <row r="6">
          <cell r="D6">
            <v>28084994.481666669</v>
          </cell>
        </row>
        <row r="9">
          <cell r="D9">
            <v>509558.50757605629</v>
          </cell>
        </row>
        <row r="16">
          <cell r="D16">
            <v>23065335.598219194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pt 2015"/>
    </sheetNames>
    <sheetDataSet>
      <sheetData sheetId="0">
        <row r="35">
          <cell r="D35">
            <v>749892000</v>
          </cell>
          <cell r="E35">
            <v>495704041.71000004</v>
          </cell>
          <cell r="F35">
            <v>187255003.79424658</v>
          </cell>
          <cell r="G35">
            <v>682959045.50424659</v>
          </cell>
          <cell r="H35">
            <v>19459041.670000002</v>
          </cell>
          <cell r="I35">
            <v>4489507.6581767919</v>
          </cell>
          <cell r="J35">
            <v>23948549.328176793</v>
          </cell>
          <cell r="K35">
            <v>254187958.29000002</v>
          </cell>
          <cell r="L35">
            <v>56982477.577461921</v>
          </cell>
          <cell r="M35">
            <v>311170435.86746192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Sheet2"/>
      <sheetName val="Sheet3"/>
    </sheetNames>
    <sheetDataSet>
      <sheetData sheetId="0">
        <row r="60">
          <cell r="P60">
            <v>314728916.61000001</v>
          </cell>
        </row>
        <row r="62">
          <cell r="P62">
            <v>12000000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0</v>
          </cell>
        </row>
        <row r="13">
          <cell r="C13">
            <v>0</v>
          </cell>
        </row>
        <row r="14">
          <cell r="C14">
            <v>2222222.222222222</v>
          </cell>
        </row>
        <row r="15">
          <cell r="C15">
            <v>2222222.222222222</v>
          </cell>
          <cell r="H15">
            <v>3972222.222222222</v>
          </cell>
        </row>
        <row r="50">
          <cell r="D50">
            <v>21499999.999999989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62M"/>
    </sheetNames>
    <sheetDataSet>
      <sheetData sheetId="0"/>
      <sheetData sheetId="1">
        <row r="15">
          <cell r="D15">
            <v>1066315.0684931506</v>
          </cell>
        </row>
        <row r="55">
          <cell r="C55">
            <v>1500000</v>
          </cell>
          <cell r="D55">
            <v>726164.38356164389</v>
          </cell>
        </row>
        <row r="56">
          <cell r="C56">
            <v>1500000</v>
          </cell>
          <cell r="D56">
            <v>740496.57534246577</v>
          </cell>
        </row>
        <row r="57">
          <cell r="C57">
            <v>1500000</v>
          </cell>
          <cell r="D57">
            <v>707054.79452054796</v>
          </cell>
        </row>
        <row r="58">
          <cell r="C58">
            <v>1500000</v>
          </cell>
          <cell r="D58">
            <v>720750</v>
          </cell>
        </row>
        <row r="59">
          <cell r="C59">
            <v>1500000</v>
          </cell>
          <cell r="D59">
            <v>710876.71232876717</v>
          </cell>
        </row>
        <row r="60">
          <cell r="C60">
            <v>1500000</v>
          </cell>
          <cell r="D60">
            <v>678390.41095890407</v>
          </cell>
        </row>
        <row r="61">
          <cell r="C61">
            <v>1500000</v>
          </cell>
          <cell r="D61">
            <v>691130.1369863014</v>
          </cell>
        </row>
        <row r="62">
          <cell r="C62">
            <v>1500000</v>
          </cell>
          <cell r="D62">
            <v>659280.82191780827</v>
          </cell>
          <cell r="G62">
            <v>18000000</v>
          </cell>
          <cell r="H62">
            <v>8659828.7671232875</v>
          </cell>
        </row>
        <row r="63">
          <cell r="C63">
            <v>1500000</v>
          </cell>
        </row>
        <row r="64">
          <cell r="C64">
            <v>1500000</v>
          </cell>
        </row>
        <row r="65">
          <cell r="C65">
            <v>1500000</v>
          </cell>
        </row>
        <row r="66">
          <cell r="C66">
            <v>1500000</v>
          </cell>
        </row>
        <row r="67">
          <cell r="C67">
            <v>1500000</v>
          </cell>
        </row>
        <row r="68">
          <cell r="C68">
            <v>1500000</v>
          </cell>
        </row>
        <row r="69">
          <cell r="C69">
            <v>1500000</v>
          </cell>
        </row>
        <row r="70">
          <cell r="C70">
            <v>1500000</v>
          </cell>
        </row>
        <row r="71">
          <cell r="C71">
            <v>1500000</v>
          </cell>
        </row>
        <row r="72">
          <cell r="C72">
            <v>1500000</v>
          </cell>
        </row>
        <row r="73">
          <cell r="C73">
            <v>1500000</v>
          </cell>
        </row>
        <row r="74">
          <cell r="C74">
            <v>1500000</v>
          </cell>
          <cell r="H74">
            <v>7285849.3150684927</v>
          </cell>
        </row>
        <row r="131">
          <cell r="D131">
            <v>69641075.342465758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8.3M"/>
    </sheetNames>
    <sheetDataSet>
      <sheetData sheetId="0" refreshError="1"/>
      <sheetData sheetId="1" refreshError="1">
        <row r="30">
          <cell r="C30">
            <v>349666.67</v>
          </cell>
          <cell r="D30">
            <v>61925.965682777794</v>
          </cell>
        </row>
        <row r="31">
          <cell r="C31">
            <v>349666.67</v>
          </cell>
          <cell r="D31">
            <v>54446.984147111129</v>
          </cell>
          <cell r="G31">
            <v>1398666.68</v>
          </cell>
          <cell r="H31">
            <v>259221.49437372229</v>
          </cell>
        </row>
        <row r="32">
          <cell r="C32">
            <v>349666.67</v>
          </cell>
          <cell r="D32">
            <v>47641.110934083357</v>
          </cell>
        </row>
        <row r="33">
          <cell r="C33">
            <v>349666.67</v>
          </cell>
          <cell r="D33">
            <v>41283.976597111134</v>
          </cell>
        </row>
        <row r="34">
          <cell r="C34">
            <v>349666.67</v>
          </cell>
          <cell r="D34">
            <v>34403.313568555583</v>
          </cell>
        </row>
        <row r="35">
          <cell r="C35">
            <v>349666.67</v>
          </cell>
          <cell r="D35">
            <v>27223.491295000033</v>
          </cell>
        </row>
        <row r="39">
          <cell r="D39">
            <v>2703651.7875760561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231M"/>
      <sheetName val="Sheet1"/>
    </sheetNames>
    <sheetDataSet>
      <sheetData sheetId="0" refreshError="1"/>
      <sheetData sheetId="1">
        <row r="17">
          <cell r="C17">
            <v>0</v>
          </cell>
        </row>
        <row r="18">
          <cell r="C18">
            <v>0</v>
          </cell>
        </row>
        <row r="19">
          <cell r="C19">
            <v>3609375</v>
          </cell>
          <cell r="D19">
            <v>1918583.3333333333</v>
          </cell>
        </row>
        <row r="20">
          <cell r="C20">
            <v>3609375</v>
          </cell>
          <cell r="D20">
            <v>1858627.6041666667</v>
          </cell>
          <cell r="G20">
            <v>7218750</v>
          </cell>
          <cell r="H20">
            <v>7551815.104166667</v>
          </cell>
        </row>
        <row r="21">
          <cell r="C21">
            <v>3609375</v>
          </cell>
          <cell r="D21">
            <v>1798671.875</v>
          </cell>
        </row>
        <row r="22">
          <cell r="C22">
            <v>3609375</v>
          </cell>
          <cell r="D22">
            <v>1682018.8802083333</v>
          </cell>
        </row>
        <row r="23">
          <cell r="C23">
            <v>3609375</v>
          </cell>
          <cell r="D23">
            <v>1678760.4166666667</v>
          </cell>
        </row>
        <row r="24">
          <cell r="C24">
            <v>3609375</v>
          </cell>
          <cell r="D24">
            <v>1618804.6875</v>
          </cell>
        </row>
        <row r="51">
          <cell r="D51">
            <v>46645557.291666672</v>
          </cell>
        </row>
      </sheetData>
      <sheetData sheetId="2">
        <row r="11">
          <cell r="H11">
            <v>1876875</v>
          </cell>
        </row>
        <row r="15">
          <cell r="H15">
            <v>7632625</v>
          </cell>
        </row>
        <row r="51">
          <cell r="D51">
            <v>46108562.5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62M"/>
    </sheetNames>
    <sheetDataSet>
      <sheetData sheetId="0" refreshError="1"/>
      <sheetData sheetId="1">
        <row r="58">
          <cell r="C58">
            <v>1500000</v>
          </cell>
          <cell r="D58">
            <v>720750</v>
          </cell>
        </row>
        <row r="59">
          <cell r="C59">
            <v>1500000</v>
          </cell>
          <cell r="D59">
            <v>710876.71232876717</v>
          </cell>
        </row>
        <row r="60">
          <cell r="C60">
            <v>1500000</v>
          </cell>
          <cell r="D60">
            <v>678390.41095890407</v>
          </cell>
        </row>
        <row r="61">
          <cell r="C61">
            <v>1500000</v>
          </cell>
          <cell r="D61">
            <v>691130.1369863014</v>
          </cell>
        </row>
        <row r="62">
          <cell r="C62">
            <v>1500000</v>
          </cell>
          <cell r="D62">
            <v>659280.82191780827</v>
          </cell>
        </row>
        <row r="131">
          <cell r="D131">
            <v>69641075.342465758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32M"/>
    </sheetNames>
    <sheetDataSet>
      <sheetData sheetId="0" refreshError="1"/>
      <sheetData sheetId="1">
        <row r="20">
          <cell r="C20">
            <v>11000000</v>
          </cell>
        </row>
        <row r="21">
          <cell r="D21">
            <v>365444.44444444444</v>
          </cell>
        </row>
        <row r="22">
          <cell r="D22">
            <v>178750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NEW 132M"/>
    </sheetNames>
    <sheetDataSet>
      <sheetData sheetId="0" refreshError="1"/>
      <sheetData sheetId="1" refreshError="1">
        <row r="19">
          <cell r="D19">
            <v>730888.88888888888</v>
          </cell>
        </row>
        <row r="20">
          <cell r="D20">
            <v>548166.66666666663</v>
          </cell>
        </row>
        <row r="21">
          <cell r="D21">
            <v>365444.44444444444</v>
          </cell>
        </row>
        <row r="22">
          <cell r="D22">
            <v>178750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231M"/>
      <sheetName val="Sheet1"/>
    </sheetNames>
    <sheetDataSet>
      <sheetData sheetId="0" refreshError="1"/>
      <sheetData sheetId="1">
        <row r="20">
          <cell r="C20">
            <v>3609375</v>
          </cell>
          <cell r="D20">
            <v>1858627.6041666667</v>
          </cell>
        </row>
        <row r="51">
          <cell r="D51">
            <v>46645557.291666672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C. 2008_GF"/>
      <sheetName val="8.3M"/>
    </sheetNames>
    <sheetDataSet>
      <sheetData sheetId="0" refreshError="1"/>
      <sheetData sheetId="1">
        <row r="31">
          <cell r="C31">
            <v>349666.67</v>
          </cell>
          <cell r="D31">
            <v>54446.984147111129</v>
          </cell>
        </row>
        <row r="39">
          <cell r="D39">
            <v>2703651.7875760561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opLeftCell="E4" workbookViewId="0">
      <selection activeCell="M17" sqref="M17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63.7109375" style="3" bestFit="1" customWidth="1"/>
    <col min="4" max="4" width="15" style="4" bestFit="1" customWidth="1"/>
    <col min="5" max="7" width="15" style="2" bestFit="1" customWidth="1"/>
    <col min="8" max="8" width="16.140625" style="2" bestFit="1" customWidth="1"/>
    <col min="9" max="9" width="9.28515625" style="2" bestFit="1" customWidth="1"/>
    <col min="10" max="10" width="6.42578125" style="5" bestFit="1" customWidth="1"/>
    <col min="11" max="11" width="15" style="2" bestFit="1" customWidth="1"/>
    <col min="12" max="12" width="14" style="2" bestFit="1" customWidth="1"/>
    <col min="13" max="13" width="15" style="1" bestFit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287" t="s">
        <v>50</v>
      </c>
      <c r="F5" s="288"/>
      <c r="G5" s="289"/>
      <c r="H5" s="287" t="s">
        <v>7</v>
      </c>
      <c r="I5" s="288"/>
      <c r="J5" s="289"/>
      <c r="K5" s="287" t="s">
        <v>8</v>
      </c>
      <c r="L5" s="288"/>
      <c r="M5" s="290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f>34500000+1500000+1500000+1500000+1500000+1500000</f>
        <v>42000000</v>
      </c>
      <c r="F7" s="22">
        <f>34187693.46+839229.45+829356.16+793047.95+809609.59+773938.36</f>
        <v>38232874.970000006</v>
      </c>
      <c r="G7" s="21">
        <f>SUM(E7:F7)</f>
        <v>80232874.969999999</v>
      </c>
      <c r="H7" s="21">
        <f>7500000-1500000-1500000-1500000-1500000-1500000</f>
        <v>0</v>
      </c>
      <c r="I7" s="21">
        <f>4045181.51-839229.45-829356.16-793047.95-809609.59-773938.36</f>
        <v>0</v>
      </c>
      <c r="J7" s="23">
        <f>SUM(H7:I7)</f>
        <v>0</v>
      </c>
      <c r="K7" s="21">
        <f>D7-E7</f>
        <v>120000000</v>
      </c>
      <c r="L7" s="24">
        <f>35453702.05-839229.45-829356.16-793047.95-809609.59-773938.36</f>
        <v>31408520.539999999</v>
      </c>
      <c r="M7" s="25">
        <f>SUM(K7:L7)</f>
        <v>151408520.53999999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16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18</v>
      </c>
      <c r="D10" s="37">
        <f>SUM(D7:D9)</f>
        <v>162000000</v>
      </c>
      <c r="E10" s="37">
        <f t="shared" ref="E10:K10" si="0">SUM(E7:E9)</f>
        <v>42000000</v>
      </c>
      <c r="F10" s="37">
        <f>SUM(F7:F9)</f>
        <v>38232874.970000006</v>
      </c>
      <c r="G10" s="37">
        <f t="shared" si="0"/>
        <v>80232874.969999999</v>
      </c>
      <c r="H10" s="37">
        <f t="shared" si="0"/>
        <v>0</v>
      </c>
      <c r="I10" s="37">
        <f t="shared" si="0"/>
        <v>0</v>
      </c>
      <c r="J10" s="38">
        <f t="shared" si="0"/>
        <v>0</v>
      </c>
      <c r="K10" s="37">
        <f t="shared" si="0"/>
        <v>120000000</v>
      </c>
      <c r="L10" s="37">
        <f>SUM(L7:L9)</f>
        <v>31408520.539999999</v>
      </c>
      <c r="M10" s="39">
        <f>SUM(K10:L10)</f>
        <v>151408520.53999999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f>175000000.02+8333333.34+8333333.34</f>
        <v>191666666.70000002</v>
      </c>
      <c r="F12" s="44">
        <f>52394314.4+468750+305555.55</f>
        <v>53168619.949999996</v>
      </c>
      <c r="G12" s="21">
        <f>SUM(E12:F12)</f>
        <v>244835286.65000001</v>
      </c>
      <c r="H12" s="21">
        <v>0</v>
      </c>
      <c r="I12" s="21">
        <v>0</v>
      </c>
      <c r="J12" s="23">
        <f>SUM(H12:I12)</f>
        <v>0</v>
      </c>
      <c r="K12" s="45">
        <f>D12-E12</f>
        <v>8333333.2999999821</v>
      </c>
      <c r="L12" s="21">
        <f>2375000.01-592013.89-468750-305555.55</f>
        <v>1008680.5699999996</v>
      </c>
      <c r="M12" s="46">
        <f>K12+L12</f>
        <v>9342013.8699999824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f>176000000+11000000+11000000</f>
        <v>198000000</v>
      </c>
      <c r="F16" s="45">
        <f>63312933.55+1544676.91+1460725.28+1236812.26</f>
        <v>67555148</v>
      </c>
      <c r="G16" s="45">
        <f>SUM(E16:F16)</f>
        <v>265555148</v>
      </c>
      <c r="H16" s="45">
        <f>44000000-11000000-11000000-11000000-11000000</f>
        <v>0</v>
      </c>
      <c r="I16" s="45">
        <v>0</v>
      </c>
      <c r="J16" s="45">
        <f>SUM(H16:I16)</f>
        <v>0</v>
      </c>
      <c r="K16" s="45">
        <f>D16-E16</f>
        <v>66000000</v>
      </c>
      <c r="L16" s="45">
        <f>9957030.15-1786965.03-1544676.91-1460725.28-1236812.26</f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48"/>
      <c r="D20" s="64"/>
      <c r="E20" s="64"/>
      <c r="F20" s="65"/>
      <c r="G20" s="64"/>
      <c r="H20" s="66"/>
      <c r="I20" s="66"/>
      <c r="J20" s="45"/>
      <c r="K20" s="64"/>
      <c r="L20" s="66"/>
      <c r="M20" s="4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31</v>
      </c>
      <c r="B21" s="55" t="s">
        <v>28</v>
      </c>
      <c r="C21" s="20" t="s">
        <v>32</v>
      </c>
      <c r="D21" s="21">
        <v>68635400</v>
      </c>
      <c r="E21" s="43">
        <v>68635400</v>
      </c>
      <c r="F21" s="44">
        <v>13747914.300000001</v>
      </c>
      <c r="G21" s="21">
        <f>SUM(E21:F21)</f>
        <v>82383314.299999997</v>
      </c>
      <c r="H21" s="45">
        <f>3911911.15-3911911.15</f>
        <v>0</v>
      </c>
      <c r="I21" s="45">
        <v>0</v>
      </c>
      <c r="J21" s="45">
        <f>SUM(H21:I21)</f>
        <v>0</v>
      </c>
      <c r="K21" s="21">
        <f>D21-E21</f>
        <v>0</v>
      </c>
      <c r="L21" s="45">
        <v>0</v>
      </c>
      <c r="M21" s="56">
        <f>SUM(K21:L21)</f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55"/>
      <c r="C22" s="48" t="s">
        <v>30</v>
      </c>
      <c r="D22" s="21"/>
      <c r="E22" s="43"/>
      <c r="F22" s="44"/>
      <c r="G22" s="21"/>
      <c r="H22" s="45"/>
      <c r="I22" s="58"/>
      <c r="J22" s="58"/>
      <c r="K22" s="21"/>
      <c r="L22" s="58"/>
      <c r="M22" s="4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59"/>
      <c r="B23" s="60"/>
      <c r="C23" s="33" t="s">
        <v>24</v>
      </c>
      <c r="D23" s="34"/>
      <c r="E23" s="34"/>
      <c r="F23" s="34"/>
      <c r="G23" s="34"/>
      <c r="H23" s="62"/>
      <c r="I23" s="61"/>
      <c r="J23" s="61"/>
      <c r="K23" s="34"/>
      <c r="L23" s="61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55"/>
      <c r="C24" s="20"/>
      <c r="D24" s="21"/>
      <c r="E24" s="21"/>
      <c r="F24" s="21"/>
      <c r="G24" s="21"/>
      <c r="H24" s="45"/>
      <c r="I24" s="58"/>
      <c r="J24" s="68"/>
      <c r="K24" s="21"/>
      <c r="L24" s="58"/>
      <c r="M24" s="6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28" t="s">
        <v>33</v>
      </c>
      <c r="B25" s="55"/>
      <c r="C25" s="20" t="s">
        <v>34</v>
      </c>
      <c r="D25" s="21"/>
      <c r="E25" s="43"/>
      <c r="F25" s="44"/>
      <c r="G25" s="21"/>
      <c r="H25" s="45"/>
      <c r="I25" s="58"/>
      <c r="J25" s="68"/>
      <c r="K25" s="21"/>
      <c r="L25" s="58"/>
      <c r="M25" s="6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28"/>
      <c r="B26" s="19" t="s">
        <v>35</v>
      </c>
      <c r="C26" s="48" t="s">
        <v>36</v>
      </c>
      <c r="D26" s="21">
        <v>17170000</v>
      </c>
      <c r="E26" s="43">
        <f>16216111.1+953888.9</f>
        <v>17170000</v>
      </c>
      <c r="F26" s="44">
        <f>3668036.6+14639.54</f>
        <v>3682676.14</v>
      </c>
      <c r="G26" s="21">
        <f>SUM(E26:F26)</f>
        <v>20852676.140000001</v>
      </c>
      <c r="H26" s="21">
        <f>2861666.66-953888.88-953888.88-953888.9</f>
        <v>0</v>
      </c>
      <c r="I26" s="21">
        <v>0</v>
      </c>
      <c r="J26" s="23">
        <f>SUM(H26:I26)</f>
        <v>0</v>
      </c>
      <c r="K26" s="21">
        <f>D26-E26</f>
        <v>0</v>
      </c>
      <c r="L26" s="21">
        <v>0</v>
      </c>
      <c r="M26" s="56">
        <f>SUM(K26:L26)</f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28"/>
      <c r="B27" s="19" t="s">
        <v>37</v>
      </c>
      <c r="C27" s="48" t="s">
        <v>30</v>
      </c>
      <c r="D27" s="21">
        <v>8392000</v>
      </c>
      <c r="E27" s="21">
        <f>3846333.37+349666.67+349666.67</f>
        <v>4545666.71</v>
      </c>
      <c r="F27" s="21">
        <f>1857660.53+72083.78</f>
        <v>1929744.31</v>
      </c>
      <c r="G27" s="21">
        <f>SUM(E27:F27)</f>
        <v>6475411.0199999996</v>
      </c>
      <c r="H27" s="21">
        <f>1398666.68-349666.67-349666.67-349666.67-349666.67</f>
        <v>0</v>
      </c>
      <c r="I27" s="21">
        <v>0</v>
      </c>
      <c r="J27" s="54">
        <f>SUM(H27:I27)</f>
        <v>0</v>
      </c>
      <c r="K27" s="21">
        <f>D27-E27</f>
        <v>3846333.29</v>
      </c>
      <c r="L27" s="21">
        <f>819023.25-81140.15-77896.99-72083.78-67695.47</f>
        <v>520206.86</v>
      </c>
      <c r="M27" s="56">
        <f>SUM(K27:L27)</f>
        <v>4366540.1500000004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28"/>
      <c r="B28" s="19"/>
      <c r="C28" s="48"/>
      <c r="D28" s="21"/>
      <c r="E28" s="21"/>
      <c r="F28" s="21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70" t="s">
        <v>38</v>
      </c>
      <c r="B29" s="71"/>
      <c r="C29" s="72" t="s">
        <v>26</v>
      </c>
      <c r="D29" s="73"/>
      <c r="E29" s="74"/>
      <c r="F29" s="74"/>
      <c r="G29" s="74"/>
      <c r="H29" s="74"/>
      <c r="I29" s="74"/>
      <c r="J29" s="75"/>
      <c r="K29" s="74"/>
      <c r="L29" s="74"/>
      <c r="M29" s="76"/>
      <c r="N29" s="26"/>
      <c r="O29" s="5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77" t="s">
        <v>39</v>
      </c>
      <c r="B30" s="78"/>
      <c r="C30" s="48" t="s">
        <v>40</v>
      </c>
      <c r="D30" s="79">
        <v>115500000</v>
      </c>
      <c r="E30" s="80">
        <v>0</v>
      </c>
      <c r="F30" s="21">
        <v>11496744.390000001</v>
      </c>
      <c r="G30" s="21">
        <f>SUM(E30:F30)</f>
        <v>11496744.390000001</v>
      </c>
      <c r="H30" s="21">
        <v>0</v>
      </c>
      <c r="I30" s="21">
        <v>0</v>
      </c>
      <c r="J30" s="23">
        <f>SUM(H30:I30)</f>
        <v>0</v>
      </c>
      <c r="K30" s="21">
        <f>D30-E30</f>
        <v>115500000</v>
      </c>
      <c r="L30" s="21">
        <f>46672928.37-11496744.39</f>
        <v>35176183.979999997</v>
      </c>
      <c r="M30" s="56">
        <f>SUM(K30:L30)</f>
        <v>150676183.97999999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53"/>
      <c r="B31" s="81" t="s">
        <v>41</v>
      </c>
      <c r="C31" s="48" t="s">
        <v>24</v>
      </c>
      <c r="D31" s="79"/>
      <c r="E31" s="80"/>
      <c r="F31" s="80"/>
      <c r="G31" s="21"/>
      <c r="H31" s="21"/>
      <c r="I31" s="21"/>
      <c r="J31" s="23"/>
      <c r="K31" s="21"/>
      <c r="L31" s="21"/>
      <c r="M31" s="5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59"/>
      <c r="B32" s="82"/>
      <c r="C32" s="33"/>
      <c r="D32" s="83"/>
      <c r="E32" s="34"/>
      <c r="F32" s="34"/>
      <c r="G32" s="34"/>
      <c r="H32" s="34"/>
      <c r="I32" s="34"/>
      <c r="J32" s="35"/>
      <c r="K32" s="34"/>
      <c r="L32" s="34"/>
      <c r="M32" s="84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3.5" thickBot="1">
      <c r="A33" s="85" t="s">
        <v>42</v>
      </c>
      <c r="B33" s="86"/>
      <c r="C33" s="87"/>
      <c r="D33" s="88">
        <f>D12+D16+D21+D26+D27+D30</f>
        <v>673697400</v>
      </c>
      <c r="E33" s="88">
        <f>E12+E16+E21+E26+E27+E30</f>
        <v>480017733.41000003</v>
      </c>
      <c r="F33" s="88">
        <f>F12+F16+F21+F26+F27+F30</f>
        <v>151580847.08999997</v>
      </c>
      <c r="G33" s="88">
        <f>G12+G16+G21+G26+G27+G30</f>
        <v>631598580.49999988</v>
      </c>
      <c r="H33" s="88">
        <f>H12+H16+H21+H26+H27</f>
        <v>0</v>
      </c>
      <c r="I33" s="88">
        <f>I12+I16+I21+I26+I27+I30</f>
        <v>0</v>
      </c>
      <c r="J33" s="89">
        <f>J12+J16+J21+J26+J27+J30</f>
        <v>0</v>
      </c>
      <c r="K33" s="88">
        <f>K12+K16+K21+K26+K27+K30</f>
        <v>193679666.58999997</v>
      </c>
      <c r="L33" s="88">
        <f>L12+L16+L21+L26+L27+L30</f>
        <v>40632922.079999998</v>
      </c>
      <c r="M33" s="90">
        <f>SUM(K33:L33)</f>
        <v>234312588.66999996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18"/>
      <c r="B34" s="86"/>
      <c r="C34" s="91"/>
      <c r="D34" s="88"/>
      <c r="E34" s="88"/>
      <c r="F34" s="88"/>
      <c r="G34" s="88"/>
      <c r="H34" s="88"/>
      <c r="I34" s="88"/>
      <c r="J34" s="89"/>
      <c r="K34" s="88"/>
      <c r="L34" s="88"/>
      <c r="M34" s="9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3.5" thickBot="1">
      <c r="A35" s="93" t="s">
        <v>43</v>
      </c>
      <c r="B35" s="94"/>
      <c r="C35" s="95"/>
      <c r="D35" s="96">
        <f>D10+D33</f>
        <v>835697400</v>
      </c>
      <c r="E35" s="96">
        <f t="shared" ref="E35:M35" si="1">E10+E33</f>
        <v>522017733.41000003</v>
      </c>
      <c r="F35" s="96">
        <f t="shared" si="1"/>
        <v>189813722.05999997</v>
      </c>
      <c r="G35" s="96">
        <f t="shared" si="1"/>
        <v>711831455.46999991</v>
      </c>
      <c r="H35" s="96">
        <f t="shared" si="1"/>
        <v>0</v>
      </c>
      <c r="I35" s="96">
        <f t="shared" si="1"/>
        <v>0</v>
      </c>
      <c r="J35" s="96">
        <f t="shared" si="1"/>
        <v>0</v>
      </c>
      <c r="K35" s="96">
        <f>K10+K33</f>
        <v>313679666.58999997</v>
      </c>
      <c r="L35" s="96">
        <f t="shared" si="1"/>
        <v>72041442.620000005</v>
      </c>
      <c r="M35" s="96">
        <f t="shared" si="1"/>
        <v>385721109.20999992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A36" s="97"/>
      <c r="B36" s="97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97"/>
      <c r="B37" s="9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A38" s="97"/>
      <c r="B38" s="97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99"/>
      <c r="C39" s="99"/>
      <c r="J39" s="100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99"/>
      <c r="C40" s="101" t="s">
        <v>44</v>
      </c>
      <c r="D40" s="99"/>
      <c r="H40" s="102" t="s">
        <v>45</v>
      </c>
      <c r="J40" s="10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99"/>
      <c r="C41" s="103"/>
      <c r="D41" s="99"/>
      <c r="H41" s="102"/>
      <c r="J41" s="100"/>
      <c r="K41" s="10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B42" s="99"/>
      <c r="C42" s="103"/>
      <c r="D42" s="99"/>
      <c r="H42" s="102"/>
      <c r="J42" s="100"/>
      <c r="K42" s="105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99"/>
      <c r="C43" s="106" t="s">
        <v>49</v>
      </c>
      <c r="D43" s="106"/>
      <c r="E43" s="106"/>
      <c r="H43" s="284" t="s">
        <v>46</v>
      </c>
      <c r="I43" s="284"/>
      <c r="J43" s="108"/>
      <c r="K43" s="105"/>
      <c r="L43" s="10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99"/>
      <c r="C44" s="99" t="s">
        <v>47</v>
      </c>
      <c r="D44" s="99"/>
      <c r="E44" s="99"/>
      <c r="H44" s="285" t="s">
        <v>48</v>
      </c>
      <c r="I44" s="285"/>
      <c r="J44" s="100"/>
      <c r="L44" s="9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A45" s="99"/>
      <c r="B45" s="99"/>
      <c r="C45" s="99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99"/>
      <c r="C46" s="99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99"/>
      <c r="C47" s="99"/>
      <c r="D47" s="104"/>
      <c r="J47" s="100"/>
      <c r="K47" s="10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99"/>
      <c r="C48" s="99"/>
      <c r="D48" s="104"/>
      <c r="J48" s="100"/>
      <c r="K48" s="10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99"/>
      <c r="C49" s="99"/>
      <c r="D49" s="104"/>
      <c r="J49" s="100"/>
      <c r="K49" s="10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99"/>
      <c r="C50" s="99"/>
      <c r="D50" s="104"/>
      <c r="E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99"/>
      <c r="C51" s="99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99"/>
      <c r="C52" s="99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99"/>
      <c r="C53" s="99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99"/>
      <c r="C54" s="99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99"/>
      <c r="C55" s="99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99"/>
      <c r="C56" s="99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99"/>
      <c r="C57" s="99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99"/>
      <c r="C58" s="99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99"/>
      <c r="C59" s="99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99"/>
      <c r="C60" s="99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99"/>
      <c r="C61" s="99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99"/>
      <c r="C62" s="99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99"/>
      <c r="C63" s="99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99"/>
      <c r="C64" s="99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99"/>
      <c r="C65" s="99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99"/>
      <c r="C66" s="99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99"/>
      <c r="C67" s="99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99"/>
      <c r="C68" s="99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99"/>
      <c r="C69" s="99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99"/>
      <c r="C70" s="99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</sheetData>
  <mergeCells count="8">
    <mergeCell ref="H43:I43"/>
    <mergeCell ref="H44:I44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topLeftCell="D5" zoomScaleSheetLayoutView="100" workbookViewId="0">
      <selection activeCell="M17" sqref="M17"/>
    </sheetView>
  </sheetViews>
  <sheetFormatPr defaultRowHeight="12"/>
  <cols>
    <col min="1" max="1" width="40.7109375" style="2" customWidth="1"/>
    <col min="2" max="2" width="17.7109375" style="3" customWidth="1"/>
    <col min="3" max="3" width="58.7109375" style="3" customWidth="1"/>
    <col min="4" max="4" width="15.7109375" style="4" customWidth="1"/>
    <col min="5" max="7" width="15.7109375" style="2" customWidth="1"/>
    <col min="8" max="8" width="14.7109375" style="2" customWidth="1"/>
    <col min="9" max="9" width="13.7109375" style="2" customWidth="1"/>
    <col min="10" max="10" width="14.7109375" style="5" customWidth="1"/>
    <col min="11" max="11" width="15.7109375" style="2" customWidth="1"/>
    <col min="12" max="12" width="14.7109375" style="2" customWidth="1"/>
    <col min="13" max="13" width="15.7109375" style="1" customWidth="1"/>
    <col min="14" max="14" width="9.140625" style="1"/>
    <col min="15" max="15" width="23.140625" style="1" customWidth="1"/>
    <col min="16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89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90</v>
      </c>
      <c r="F6" s="288"/>
      <c r="G6" s="289"/>
      <c r="H6" s="287" t="s">
        <v>51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162M'!$G$63-1500000</f>
        <v>58500000</v>
      </c>
      <c r="F8" s="22">
        <f>'[1]PNB 162M'!$F$63</f>
        <v>46575739.744246565</v>
      </c>
      <c r="G8" s="21">
        <f>SUM(E8:F8)</f>
        <v>105075739.74424657</v>
      </c>
      <c r="H8" s="21">
        <f>SUM('[5]NEW 162M'!$C$60:$C$62)</f>
        <v>4500000</v>
      </c>
      <c r="I8" s="21">
        <f>SUM('[5]NEW 162M'!$D$60:$D$62)</f>
        <v>2028801.3698630137</v>
      </c>
      <c r="J8" s="23">
        <f>H8+I8</f>
        <v>6528801.3698630137</v>
      </c>
      <c r="K8" s="21">
        <f>D8-E8</f>
        <v>103500000</v>
      </c>
      <c r="L8" s="24">
        <f>'[5]NEW 162M'!$D$131-F8</f>
        <v>23065335.598219194</v>
      </c>
      <c r="M8" s="25">
        <f>SUM(K8:L8)</f>
        <v>126565335.59821919</v>
      </c>
      <c r="N8" s="26"/>
      <c r="O8" s="52">
        <f>M8-aug!M8</f>
        <v>-665013.70000001788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 customHeight="1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 customHeight="1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58500000</v>
      </c>
      <c r="F11" s="37">
        <f>SUM(F8:F10)</f>
        <v>46575739.744246565</v>
      </c>
      <c r="G11" s="37">
        <f t="shared" si="0"/>
        <v>105075739.74424657</v>
      </c>
      <c r="H11" s="37">
        <f t="shared" si="0"/>
        <v>4500000</v>
      </c>
      <c r="I11" s="37">
        <f t="shared" si="0"/>
        <v>2028801.3698630137</v>
      </c>
      <c r="J11" s="38">
        <f t="shared" si="0"/>
        <v>6528801.3698630137</v>
      </c>
      <c r="K11" s="37">
        <f t="shared" si="0"/>
        <v>103500000</v>
      </c>
      <c r="L11" s="37">
        <f>SUM(L8:L10)</f>
        <v>23065335.598219194</v>
      </c>
      <c r="M11" s="39">
        <f>SUM(K11:L11)</f>
        <v>126565335.59821919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</f>
        <v>199999999.98999998</v>
      </c>
      <c r="F13" s="44">
        <f>'[1]NEW CITY HALL (200M)'!$F$108</f>
        <v>53316189.390000001</v>
      </c>
      <c r="G13" s="21">
        <f>SUM(E13:F13)</f>
        <v>253316189.38</v>
      </c>
      <c r="H13" s="21">
        <v>0</v>
      </c>
      <c r="I13" s="21">
        <v>0</v>
      </c>
      <c r="J13" s="23">
        <v>0</v>
      </c>
      <c r="K13" s="45">
        <f>D13-E13</f>
        <v>1.0000020265579224E-2</v>
      </c>
      <c r="L13" s="21">
        <v>0</v>
      </c>
      <c r="M13" s="46">
        <f>SUM(K13:L13)</f>
        <v>1.0000020265579224E-2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242000000</v>
      </c>
      <c r="F17" s="45">
        <f>'[1]CONSOL NEW CITY HALL (264)'!$E$213</f>
        <v>70534166</v>
      </c>
      <c r="G17" s="45">
        <f>SUM(E17:F17)</f>
        <v>312534166</v>
      </c>
      <c r="H17" s="45">
        <f>'[6]NEW 132M'!$C$20</f>
        <v>11000000</v>
      </c>
      <c r="I17" s="45">
        <f>547631.7</f>
        <v>547631.69999999995</v>
      </c>
      <c r="J17" s="45">
        <f>SUM(H17:I17)</f>
        <v>11547631.699999999</v>
      </c>
      <c r="K17" s="45">
        <f>D17-E17</f>
        <v>22000000</v>
      </c>
      <c r="L17" s="45">
        <f>SUM('[7]NEW 132M'!$D$19:$D$22)</f>
        <v>1823250</v>
      </c>
      <c r="M17" s="56">
        <f>SUM(K17:L17)</f>
        <v>23823250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0</v>
      </c>
      <c r="F23" s="21">
        <f>'[1]LAND (8.3M)'!$E$62</f>
        <v>0</v>
      </c>
      <c r="G23" s="21">
        <f>SUM(E23:F23)</f>
        <v>0</v>
      </c>
      <c r="H23" s="21">
        <f>'[9]8.3M'!$C$31</f>
        <v>349666.67</v>
      </c>
      <c r="I23" s="21">
        <f>'[9]8.3M'!$D$31</f>
        <v>54446.984147111129</v>
      </c>
      <c r="J23" s="54">
        <f>H23+I23</f>
        <v>404113.65414711111</v>
      </c>
      <c r="K23" s="21">
        <f>D23-E23</f>
        <v>8392000</v>
      </c>
      <c r="L23" s="21">
        <f>'[9]8.3M'!$D$39-F23</f>
        <v>2703651.7875760561</v>
      </c>
      <c r="M23" s="56">
        <f>SUM(K23:L23)</f>
        <v>11095651.787576057</v>
      </c>
      <c r="N23" s="26"/>
      <c r="O23" s="52">
        <f>M23-aug!M23</f>
        <v>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7218750</v>
      </c>
      <c r="F26" s="21">
        <f>'[1]NEW CITY HALL (231M)'!$F$19</f>
        <v>18560562.810000002</v>
      </c>
      <c r="G26" s="21">
        <f>SUM(E26:F26)</f>
        <v>25779312.810000002</v>
      </c>
      <c r="H26" s="21">
        <f>'[8]231M'!$C$20</f>
        <v>3609375</v>
      </c>
      <c r="I26" s="21">
        <f>'[8]231M'!$D$20</f>
        <v>1858627.6041666667</v>
      </c>
      <c r="J26" s="23">
        <f>H26+I26</f>
        <v>5468002.604166667</v>
      </c>
      <c r="K26" s="21">
        <f>D26-E26</f>
        <v>108281250</v>
      </c>
      <c r="L26" s="21">
        <f>'[4]231M'!$D$51-F26</f>
        <v>28084994.481666669</v>
      </c>
      <c r="M26" s="56">
        <f>SUM(K26:L26)</f>
        <v>136366244.48166668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f>D13+D17+D23+D26</f>
        <v>587892000</v>
      </c>
      <c r="E30" s="88">
        <f t="shared" ref="E30:M30" si="1">E13+E17+E23+E26</f>
        <v>449218749.99000001</v>
      </c>
      <c r="F30" s="88">
        <f t="shared" si="1"/>
        <v>142410918.19999999</v>
      </c>
      <c r="G30" s="88">
        <f t="shared" si="1"/>
        <v>591629668.19000006</v>
      </c>
      <c r="H30" s="88">
        <f t="shared" si="1"/>
        <v>14959041.67</v>
      </c>
      <c r="I30" s="88">
        <f t="shared" si="1"/>
        <v>2460706.2883137781</v>
      </c>
      <c r="J30" s="89">
        <f t="shared" si="1"/>
        <v>17419747.958313778</v>
      </c>
      <c r="K30" s="88">
        <f t="shared" si="1"/>
        <v>138673250.01000002</v>
      </c>
      <c r="L30" s="88">
        <f t="shared" si="1"/>
        <v>32611896.269242726</v>
      </c>
      <c r="M30" s="90">
        <f t="shared" si="1"/>
        <v>171285146.27924275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f t="shared" ref="D32:M32" si="2">D11+D30</f>
        <v>749892000</v>
      </c>
      <c r="E32" s="96">
        <f t="shared" si="2"/>
        <v>507718749.99000001</v>
      </c>
      <c r="F32" s="96">
        <f t="shared" si="2"/>
        <v>188986657.94424656</v>
      </c>
      <c r="G32" s="96">
        <f t="shared" si="2"/>
        <v>696705407.93424666</v>
      </c>
      <c r="H32" s="96">
        <f t="shared" si="2"/>
        <v>19459041.670000002</v>
      </c>
      <c r="I32" s="96">
        <f t="shared" si="2"/>
        <v>4489507.6581767919</v>
      </c>
      <c r="J32" s="96">
        <f t="shared" si="2"/>
        <v>23948549.328176793</v>
      </c>
      <c r="K32" s="96">
        <f t="shared" si="2"/>
        <v>242173250.01000002</v>
      </c>
      <c r="L32" s="96">
        <f t="shared" si="2"/>
        <v>55677231.86746192</v>
      </c>
      <c r="M32" s="96">
        <f t="shared" si="2"/>
        <v>297850481.87746191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52">
        <f>K30-147687958.29</f>
        <v>-9014708.2799999714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52"/>
      <c r="C36" s="152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52"/>
      <c r="C37" s="101" t="s">
        <v>44</v>
      </c>
      <c r="D37" s="152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52"/>
      <c r="C38" s="103"/>
      <c r="D38" s="152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52"/>
      <c r="C39" s="103"/>
      <c r="D39" s="152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52"/>
      <c r="C40" s="151" t="s">
        <v>86</v>
      </c>
      <c r="D40" s="151"/>
      <c r="E40" s="151"/>
      <c r="H40" s="284" t="s">
        <v>46</v>
      </c>
      <c r="I40" s="284"/>
      <c r="J40" s="108"/>
      <c r="K40" s="105"/>
      <c r="L40" s="15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52"/>
      <c r="C41" s="152" t="s">
        <v>47</v>
      </c>
      <c r="D41" s="152"/>
      <c r="E41" s="152"/>
      <c r="H41" s="285" t="s">
        <v>48</v>
      </c>
      <c r="I41" s="285"/>
      <c r="J41" s="100"/>
      <c r="L41" s="152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52"/>
      <c r="B42" s="152"/>
      <c r="C42" s="152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52"/>
      <c r="C43" s="152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52"/>
      <c r="C44" s="152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153" customFormat="1" ht="12.75">
      <c r="B45" s="154"/>
      <c r="C45" s="154"/>
      <c r="D45" s="155">
        <f>D32-'[10]Sept 2015'!$D$35</f>
        <v>0</v>
      </c>
      <c r="E45" s="155">
        <f>E32-'[10]Sept 2015'!$E$35</f>
        <v>12014708.279999971</v>
      </c>
      <c r="F45" s="155">
        <f>F32-'[10]Sept 2015'!$F$35</f>
        <v>1731654.1499999762</v>
      </c>
      <c r="G45" s="155">
        <f>G32-'[10]Sept 2015'!$G$35</f>
        <v>13746362.430000067</v>
      </c>
      <c r="H45" s="155">
        <f>H32-'[10]Sept 2015'!$H$35</f>
        <v>0</v>
      </c>
      <c r="I45" s="155">
        <f>I32-'[10]Sept 2015'!$I$35</f>
        <v>0</v>
      </c>
      <c r="J45" s="155">
        <f>J32-'[10]Sept 2015'!$J$35</f>
        <v>0</v>
      </c>
      <c r="K45" s="155">
        <f>K32-'[10]Sept 2015'!$K$35</f>
        <v>-12014708.280000001</v>
      </c>
      <c r="L45" s="155">
        <f>L32-'[10]Sept 2015'!$L$35</f>
        <v>-1305245.7100000009</v>
      </c>
      <c r="M45" s="155">
        <f>M32-'[10]Sept 2015'!$M$35</f>
        <v>-13319953.99000001</v>
      </c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</row>
    <row r="46" spans="1:47" s="27" customFormat="1" ht="12.75">
      <c r="B46" s="152"/>
      <c r="C46" s="152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52"/>
      <c r="C47" s="152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52"/>
      <c r="C48" s="152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52"/>
      <c r="C49" s="152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52"/>
      <c r="C50" s="152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52"/>
      <c r="C51" s="152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52"/>
      <c r="C52" s="152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52"/>
      <c r="C53" s="152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52"/>
      <c r="C54" s="152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52"/>
      <c r="C55" s="152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52"/>
      <c r="C56" s="152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52"/>
      <c r="C57" s="152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52"/>
      <c r="C58" s="152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52"/>
      <c r="C59" s="152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52"/>
      <c r="C60" s="152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52"/>
      <c r="C61" s="152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52"/>
      <c r="C62" s="152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52"/>
      <c r="C63" s="152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52"/>
      <c r="C64" s="152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52"/>
      <c r="C65" s="152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52"/>
      <c r="C66" s="152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52"/>
      <c r="C67" s="152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25" right="0.25" top="0.3" bottom="0.65" header="0.3" footer="0.3"/>
  <pageSetup paperSize="10000" scale="6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76"/>
  <sheetViews>
    <sheetView view="pageBreakPreview" topLeftCell="D40" zoomScaleSheetLayoutView="100" workbookViewId="0">
      <selection activeCell="M17" sqref="M17"/>
    </sheetView>
  </sheetViews>
  <sheetFormatPr defaultRowHeight="12"/>
  <cols>
    <col min="1" max="1" width="40.7109375" style="2" customWidth="1"/>
    <col min="2" max="2" width="17.7109375" style="3" customWidth="1"/>
    <col min="3" max="3" width="58.7109375" style="3" customWidth="1"/>
    <col min="4" max="4" width="15.7109375" style="4" customWidth="1"/>
    <col min="5" max="7" width="15.7109375" style="2" customWidth="1"/>
    <col min="8" max="8" width="14.7109375" style="2" customWidth="1"/>
    <col min="9" max="9" width="13.7109375" style="2" customWidth="1"/>
    <col min="10" max="10" width="14.7109375" style="5" customWidth="1"/>
    <col min="11" max="11" width="15.7109375" style="2" customWidth="1"/>
    <col min="12" max="12" width="14.7109375" style="2" customWidth="1"/>
    <col min="13" max="13" width="15.7109375" style="1" customWidth="1"/>
    <col min="14" max="14" width="9.140625" style="1"/>
    <col min="15" max="15" width="23.140625" style="1" customWidth="1"/>
    <col min="16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47" ht="15">
      <c r="A4" s="286" t="s">
        <v>91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47" ht="15.75">
      <c r="A5" s="291" t="s">
        <v>67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47" ht="12.75" thickBot="1"/>
    <row r="7" spans="1:47" s="27" customFormat="1" ht="12.75">
      <c r="A7" s="292" t="s">
        <v>3</v>
      </c>
      <c r="B7" s="294" t="s">
        <v>4</v>
      </c>
      <c r="C7" s="294" t="s">
        <v>5</v>
      </c>
      <c r="D7" s="187" t="s">
        <v>6</v>
      </c>
      <c r="E7" s="296" t="s">
        <v>92</v>
      </c>
      <c r="F7" s="297"/>
      <c r="G7" s="298"/>
      <c r="H7" s="296" t="s">
        <v>51</v>
      </c>
      <c r="I7" s="297"/>
      <c r="J7" s="298"/>
      <c r="K7" s="296" t="s">
        <v>8</v>
      </c>
      <c r="L7" s="297"/>
      <c r="M7" s="29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3.5" thickBot="1">
      <c r="A8" s="293"/>
      <c r="B8" s="295"/>
      <c r="C8" s="295"/>
      <c r="D8" s="188" t="s">
        <v>9</v>
      </c>
      <c r="E8" s="189" t="s">
        <v>10</v>
      </c>
      <c r="F8" s="190" t="s">
        <v>11</v>
      </c>
      <c r="G8" s="191" t="s">
        <v>12</v>
      </c>
      <c r="H8" s="192" t="s">
        <v>10</v>
      </c>
      <c r="I8" s="193" t="s">
        <v>11</v>
      </c>
      <c r="J8" s="191" t="s">
        <v>12</v>
      </c>
      <c r="K8" s="190" t="s">
        <v>10</v>
      </c>
      <c r="L8" s="194" t="s">
        <v>11</v>
      </c>
      <c r="M8" s="195" t="s">
        <v>12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ht="12.75">
      <c r="A9" s="18" t="s">
        <v>13</v>
      </c>
      <c r="B9" s="178"/>
      <c r="C9" s="179"/>
      <c r="D9" s="180"/>
      <c r="E9" s="181"/>
      <c r="F9" s="185"/>
      <c r="G9" s="182"/>
      <c r="H9" s="183"/>
      <c r="I9" s="178"/>
      <c r="J9" s="182"/>
      <c r="K9" s="183"/>
      <c r="L9" s="178"/>
      <c r="M9" s="184"/>
    </row>
    <row r="10" spans="1:47" s="27" customFormat="1" ht="12.75">
      <c r="A10" s="28"/>
      <c r="B10" s="19" t="s">
        <v>14</v>
      </c>
      <c r="C10" s="20" t="s">
        <v>15</v>
      </c>
      <c r="D10" s="21">
        <v>162000000</v>
      </c>
      <c r="E10" s="21">
        <v>57000000</v>
      </c>
      <c r="F10" s="22">
        <v>45312452.064246565</v>
      </c>
      <c r="G10" s="21">
        <f>SUM(E10:F10)</f>
        <v>102312452.06424657</v>
      </c>
      <c r="H10" s="21">
        <v>3000000</v>
      </c>
      <c r="I10" s="21">
        <v>1350410.9589041097</v>
      </c>
      <c r="J10" s="23">
        <f>H10+I10</f>
        <v>4350410.9589041099</v>
      </c>
      <c r="K10" s="21">
        <f>D10-E10</f>
        <v>105000000</v>
      </c>
      <c r="L10" s="21">
        <v>24328623.278219193</v>
      </c>
      <c r="M10" s="25">
        <f>SUM(K10:L10)</f>
        <v>129328623.27821919</v>
      </c>
      <c r="N10" s="26"/>
      <c r="O10" s="52">
        <f>M10-aug!M8</f>
        <v>2098273.9799999893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28"/>
      <c r="B11" s="19"/>
      <c r="C11" s="29" t="s">
        <v>52</v>
      </c>
      <c r="D11" s="21"/>
      <c r="E11" s="21"/>
      <c r="F11" s="22"/>
      <c r="G11" s="21"/>
      <c r="H11" s="21"/>
      <c r="I11" s="21"/>
      <c r="J11" s="23"/>
      <c r="K11" s="21"/>
      <c r="L11" s="30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28"/>
      <c r="B12" s="19"/>
      <c r="C12" s="48" t="s">
        <v>17</v>
      </c>
      <c r="D12" s="21"/>
      <c r="E12" s="21"/>
      <c r="F12" s="21"/>
      <c r="G12" s="21"/>
      <c r="H12" s="21"/>
      <c r="I12" s="21"/>
      <c r="J12" s="23"/>
      <c r="K12" s="21"/>
      <c r="L12" s="21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31"/>
      <c r="B13" s="32"/>
      <c r="C13" s="177"/>
      <c r="D13" s="34"/>
      <c r="E13" s="34"/>
      <c r="F13" s="34"/>
      <c r="G13" s="34"/>
      <c r="H13" s="34"/>
      <c r="I13" s="34"/>
      <c r="J13" s="35"/>
      <c r="K13" s="34"/>
      <c r="L13" s="34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31"/>
      <c r="B14" s="32"/>
      <c r="C14" s="36" t="s">
        <v>56</v>
      </c>
      <c r="D14" s="37">
        <f>SUM(D10:D12)</f>
        <v>162000000</v>
      </c>
      <c r="E14" s="37">
        <f t="shared" ref="E14:K14" si="0">SUM(E10:E12)</f>
        <v>57000000</v>
      </c>
      <c r="F14" s="37">
        <f>SUM(F10:F12)</f>
        <v>45312452.064246565</v>
      </c>
      <c r="G14" s="37">
        <f t="shared" si="0"/>
        <v>102312452.06424657</v>
      </c>
      <c r="H14" s="37">
        <f t="shared" si="0"/>
        <v>3000000</v>
      </c>
      <c r="I14" s="37">
        <f t="shared" si="0"/>
        <v>1350410.9589041097</v>
      </c>
      <c r="J14" s="38">
        <f t="shared" si="0"/>
        <v>4350410.9589041099</v>
      </c>
      <c r="K14" s="37">
        <f t="shared" si="0"/>
        <v>105000000</v>
      </c>
      <c r="L14" s="37">
        <f>SUM(L10:L12)</f>
        <v>24328623.278219193</v>
      </c>
      <c r="M14" s="39">
        <f>SUM(K14:L14)</f>
        <v>129328623.27821919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0" t="s">
        <v>19</v>
      </c>
      <c r="B15" s="19"/>
      <c r="C15" s="20"/>
      <c r="D15" s="21"/>
      <c r="E15" s="21"/>
      <c r="F15" s="21"/>
      <c r="G15" s="21"/>
      <c r="H15" s="21"/>
      <c r="I15" s="21"/>
      <c r="J15" s="23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2" t="s">
        <v>20</v>
      </c>
      <c r="B16" s="19" t="s">
        <v>21</v>
      </c>
      <c r="C16" s="20" t="s">
        <v>22</v>
      </c>
      <c r="D16" s="21">
        <v>200000000</v>
      </c>
      <c r="E16" s="43">
        <v>199999999.98999998</v>
      </c>
      <c r="F16" s="44">
        <v>53316189.390000001</v>
      </c>
      <c r="G16" s="21">
        <f>SUM(E16:F16)</f>
        <v>253316189.38</v>
      </c>
      <c r="H16" s="21">
        <v>0</v>
      </c>
      <c r="I16" s="21">
        <v>0</v>
      </c>
      <c r="J16" s="23">
        <v>0</v>
      </c>
      <c r="K16" s="45">
        <f>D16-E16</f>
        <v>1.0000020265579224E-2</v>
      </c>
      <c r="L16" s="21">
        <v>0</v>
      </c>
      <c r="M16" s="46">
        <f>SUM(K16:L16)</f>
        <v>1.0000020265579224E-2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/>
      <c r="B17" s="19"/>
      <c r="C17" s="48" t="s">
        <v>23</v>
      </c>
      <c r="D17" s="21"/>
      <c r="E17" s="21"/>
      <c r="F17" s="44"/>
      <c r="G17" s="21"/>
      <c r="H17" s="21"/>
      <c r="I17" s="21"/>
      <c r="J17" s="23"/>
      <c r="K17" s="21"/>
      <c r="L17" s="21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53"/>
      <c r="B18" s="175"/>
      <c r="C18" s="48" t="s">
        <v>24</v>
      </c>
      <c r="D18" s="21"/>
      <c r="E18" s="21"/>
      <c r="F18" s="21"/>
      <c r="G18" s="21"/>
      <c r="H18" s="21"/>
      <c r="I18" s="21"/>
      <c r="J18" s="23"/>
      <c r="K18" s="21"/>
      <c r="L18" s="21"/>
      <c r="M18" s="176"/>
      <c r="N18" s="26"/>
      <c r="O18" s="26"/>
      <c r="P18" s="5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49"/>
      <c r="B19" s="117"/>
      <c r="C19" s="33"/>
      <c r="D19" s="83"/>
      <c r="E19" s="37"/>
      <c r="F19" s="37"/>
      <c r="G19" s="34"/>
      <c r="H19" s="34"/>
      <c r="I19" s="34"/>
      <c r="J19" s="35"/>
      <c r="K19" s="34"/>
      <c r="L19" s="34"/>
      <c r="M19" s="118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3"/>
      <c r="B20" s="19"/>
      <c r="C20" s="48"/>
      <c r="D20" s="21"/>
      <c r="E20" s="21"/>
      <c r="F20" s="21"/>
      <c r="G20" s="21"/>
      <c r="H20" s="21"/>
      <c r="I20" s="21"/>
      <c r="J20" s="54"/>
      <c r="K20" s="21"/>
      <c r="L20" s="21"/>
      <c r="M20" s="4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47" t="s">
        <v>25</v>
      </c>
      <c r="B21" s="55"/>
      <c r="C21" s="20" t="s">
        <v>26</v>
      </c>
      <c r="D21" s="45">
        <v>264000000</v>
      </c>
      <c r="E21" s="45">
        <v>242000000</v>
      </c>
      <c r="F21" s="45">
        <v>70534166</v>
      </c>
      <c r="G21" s="45">
        <f>SUM(E21:F21)</f>
        <v>312534166</v>
      </c>
      <c r="H21" s="45">
        <v>0</v>
      </c>
      <c r="I21" s="45">
        <v>0</v>
      </c>
      <c r="J21" s="45">
        <f>SUM(H21:I21)</f>
        <v>0</v>
      </c>
      <c r="K21" s="45">
        <f>D21-E21</f>
        <v>22000000</v>
      </c>
      <c r="L21" s="45">
        <v>544194.4444444445</v>
      </c>
      <c r="M21" s="56">
        <f>SUM(K21:L21)</f>
        <v>22544194.444444444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27</v>
      </c>
      <c r="B22" s="55" t="s">
        <v>28</v>
      </c>
      <c r="C22" s="57" t="s">
        <v>29</v>
      </c>
      <c r="D22" s="58"/>
      <c r="E22" s="58"/>
      <c r="F22" s="44"/>
      <c r="G22" s="58"/>
      <c r="H22" s="45"/>
      <c r="I22" s="45"/>
      <c r="J22" s="45"/>
      <c r="K22" s="58"/>
      <c r="L22" s="45"/>
      <c r="M22" s="4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55"/>
      <c r="C23" s="48" t="s">
        <v>30</v>
      </c>
      <c r="D23" s="58"/>
      <c r="E23" s="58"/>
      <c r="F23" s="58"/>
      <c r="G23" s="58"/>
      <c r="H23" s="45"/>
      <c r="I23" s="45"/>
      <c r="J23" s="45"/>
      <c r="K23" s="58"/>
      <c r="L23" s="45"/>
      <c r="M23" s="4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119"/>
      <c r="B24" s="55"/>
      <c r="C24" s="48" t="s">
        <v>24</v>
      </c>
      <c r="D24" s="58"/>
      <c r="E24" s="58"/>
      <c r="F24" s="58"/>
      <c r="G24" s="58"/>
      <c r="H24" s="45"/>
      <c r="I24" s="45"/>
      <c r="J24" s="45"/>
      <c r="K24" s="58"/>
      <c r="L24" s="45"/>
      <c r="M24" s="174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49"/>
      <c r="B25" s="117"/>
      <c r="C25" s="33"/>
      <c r="D25" s="83"/>
      <c r="E25" s="37"/>
      <c r="F25" s="37"/>
      <c r="G25" s="34"/>
      <c r="H25" s="34"/>
      <c r="I25" s="34"/>
      <c r="J25" s="35"/>
      <c r="K25" s="34"/>
      <c r="L25" s="34"/>
      <c r="M25" s="118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28"/>
      <c r="B26" s="55"/>
      <c r="C26" s="20"/>
      <c r="D26" s="21"/>
      <c r="E26" s="21"/>
      <c r="F26" s="21"/>
      <c r="G26" s="21"/>
      <c r="H26" s="45"/>
      <c r="I26" s="58"/>
      <c r="J26" s="68"/>
      <c r="K26" s="21"/>
      <c r="L26" s="58"/>
      <c r="M26" s="69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28" t="s">
        <v>33</v>
      </c>
      <c r="B27" s="55"/>
      <c r="C27" s="20" t="s">
        <v>34</v>
      </c>
      <c r="D27" s="21"/>
      <c r="E27" s="43"/>
      <c r="F27" s="44"/>
      <c r="G27" s="21"/>
      <c r="H27" s="45"/>
      <c r="I27" s="58"/>
      <c r="J27" s="68"/>
      <c r="K27" s="21"/>
      <c r="L27" s="58"/>
      <c r="M27" s="69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28"/>
      <c r="B28" s="19" t="s">
        <v>37</v>
      </c>
      <c r="C28" s="48" t="s">
        <v>30</v>
      </c>
      <c r="D28" s="21">
        <v>8392000</v>
      </c>
      <c r="E28" s="21">
        <v>5594666.7199999997</v>
      </c>
      <c r="F28" s="21">
        <v>2155629.9500000002</v>
      </c>
      <c r="G28" s="21">
        <f>SUM(E28:F28)</f>
        <v>7750296.6699999999</v>
      </c>
      <c r="H28" s="21">
        <v>349666.67</v>
      </c>
      <c r="I28" s="21">
        <v>54446.984147111129</v>
      </c>
      <c r="J28" s="54">
        <f>H28+I28</f>
        <v>404113.65414711111</v>
      </c>
      <c r="K28" s="21">
        <f>D28-E28</f>
        <v>2797333.2800000003</v>
      </c>
      <c r="L28" s="21">
        <v>548021.8375760559</v>
      </c>
      <c r="M28" s="56">
        <f>SUM(K28:L28)</f>
        <v>3345355.1175760562</v>
      </c>
      <c r="N28" s="26"/>
      <c r="O28" s="52">
        <f>M28-aug!M23</f>
        <v>-7750296.6700000009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28"/>
      <c r="B29" s="19"/>
      <c r="C29" s="48"/>
      <c r="D29" s="21"/>
      <c r="E29" s="21"/>
      <c r="F29" s="21"/>
      <c r="G29" s="21"/>
      <c r="H29" s="21"/>
      <c r="I29" s="21"/>
      <c r="J29" s="23"/>
      <c r="K29" s="21"/>
      <c r="L29" s="21"/>
      <c r="M29" s="56"/>
      <c r="N29" s="26"/>
      <c r="O29" s="5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168"/>
      <c r="B30" s="169"/>
      <c r="C30" s="72"/>
      <c r="D30" s="170"/>
      <c r="E30" s="171"/>
      <c r="F30" s="171"/>
      <c r="G30" s="171"/>
      <c r="H30" s="171"/>
      <c r="I30" s="171"/>
      <c r="J30" s="172"/>
      <c r="K30" s="171"/>
      <c r="L30" s="171"/>
      <c r="M30" s="173"/>
      <c r="N30" s="26"/>
      <c r="O30" s="52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77" t="s">
        <v>38</v>
      </c>
      <c r="B31" s="164"/>
      <c r="C31" s="48" t="s">
        <v>26</v>
      </c>
      <c r="D31" s="165"/>
      <c r="E31" s="80"/>
      <c r="F31" s="80"/>
      <c r="G31" s="80"/>
      <c r="H31" s="80"/>
      <c r="I31" s="80"/>
      <c r="J31" s="166"/>
      <c r="K31" s="80"/>
      <c r="L31" s="80"/>
      <c r="M31" s="167"/>
      <c r="N31" s="26"/>
      <c r="O31" s="52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77" t="s">
        <v>39</v>
      </c>
      <c r="B32" s="78"/>
      <c r="C32" s="48" t="s">
        <v>40</v>
      </c>
      <c r="D32" s="79">
        <v>115500000</v>
      </c>
      <c r="E32" s="21">
        <v>7218750</v>
      </c>
      <c r="F32" s="21">
        <v>18560562.810000002</v>
      </c>
      <c r="G32" s="21">
        <f>SUM(E32:F32)</f>
        <v>25779312.810000002</v>
      </c>
      <c r="H32" s="21">
        <v>0</v>
      </c>
      <c r="I32" s="21">
        <v>0</v>
      </c>
      <c r="J32" s="23">
        <f>H32+I32</f>
        <v>0</v>
      </c>
      <c r="K32" s="21">
        <f>D32-E32</f>
        <v>108281250</v>
      </c>
      <c r="L32" s="21">
        <v>28084994.481666669</v>
      </c>
      <c r="M32" s="56">
        <f>SUM(K32:L32)</f>
        <v>136366244.48166668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53"/>
      <c r="B33" s="81" t="s">
        <v>41</v>
      </c>
      <c r="C33" s="48" t="s">
        <v>24</v>
      </c>
      <c r="D33" s="79"/>
      <c r="E33" s="80"/>
      <c r="F33" s="80"/>
      <c r="G33" s="21"/>
      <c r="H33" s="21"/>
      <c r="I33" s="21"/>
      <c r="J33" s="23"/>
      <c r="K33" s="21"/>
      <c r="L33" s="21"/>
      <c r="M33" s="5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49"/>
      <c r="B34" s="117"/>
      <c r="C34" s="33"/>
      <c r="D34" s="83"/>
      <c r="E34" s="37"/>
      <c r="F34" s="37"/>
      <c r="G34" s="34"/>
      <c r="H34" s="34"/>
      <c r="I34" s="34"/>
      <c r="J34" s="35"/>
      <c r="K34" s="34"/>
      <c r="L34" s="34"/>
      <c r="M34" s="11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53"/>
      <c r="B35" s="81"/>
      <c r="C35" s="48"/>
      <c r="D35" s="79"/>
      <c r="E35" s="80"/>
      <c r="F35" s="80"/>
      <c r="G35" s="21"/>
      <c r="H35" s="21"/>
      <c r="I35" s="21"/>
      <c r="J35" s="23"/>
      <c r="K35" s="21"/>
      <c r="L35" s="21"/>
      <c r="M35" s="5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A36" s="59"/>
      <c r="B36" s="82"/>
      <c r="C36" s="33"/>
      <c r="D36" s="83"/>
      <c r="E36" s="34"/>
      <c r="F36" s="34"/>
      <c r="G36" s="34"/>
      <c r="H36" s="34"/>
      <c r="I36" s="34"/>
      <c r="J36" s="35"/>
      <c r="K36" s="34"/>
      <c r="L36" s="34"/>
      <c r="M36" s="84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85" t="s">
        <v>42</v>
      </c>
      <c r="B37" s="86"/>
      <c r="C37" s="87"/>
      <c r="D37" s="88">
        <f t="shared" ref="D37:M37" si="1">D16+D21+D28+D32</f>
        <v>587892000</v>
      </c>
      <c r="E37" s="88">
        <f t="shared" si="1"/>
        <v>454813416.71000004</v>
      </c>
      <c r="F37" s="88">
        <f t="shared" si="1"/>
        <v>144566548.15000001</v>
      </c>
      <c r="G37" s="88">
        <f t="shared" si="1"/>
        <v>599379964.8599999</v>
      </c>
      <c r="H37" s="88">
        <f t="shared" si="1"/>
        <v>349666.67</v>
      </c>
      <c r="I37" s="88">
        <f t="shared" si="1"/>
        <v>54446.984147111129</v>
      </c>
      <c r="J37" s="89">
        <f t="shared" si="1"/>
        <v>404113.65414711111</v>
      </c>
      <c r="K37" s="88">
        <f t="shared" si="1"/>
        <v>133078583.29000002</v>
      </c>
      <c r="L37" s="88">
        <f t="shared" si="1"/>
        <v>29177210.763687171</v>
      </c>
      <c r="M37" s="113">
        <f t="shared" si="1"/>
        <v>162255794.05368721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A38" s="18"/>
      <c r="B38" s="86"/>
      <c r="C38" s="91"/>
      <c r="D38" s="88"/>
      <c r="E38" s="88"/>
      <c r="F38" s="88"/>
      <c r="G38" s="88"/>
      <c r="H38" s="88"/>
      <c r="I38" s="88"/>
      <c r="J38" s="89"/>
      <c r="K38" s="88"/>
      <c r="L38" s="88"/>
      <c r="M38" s="112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3.5" thickBot="1">
      <c r="A39" s="93" t="s">
        <v>43</v>
      </c>
      <c r="B39" s="94"/>
      <c r="C39" s="95"/>
      <c r="D39" s="96">
        <f t="shared" ref="D39:M39" si="2">D14+D37</f>
        <v>749892000</v>
      </c>
      <c r="E39" s="96">
        <f t="shared" si="2"/>
        <v>511813416.71000004</v>
      </c>
      <c r="F39" s="96">
        <f t="shared" si="2"/>
        <v>189879000.21424657</v>
      </c>
      <c r="G39" s="96">
        <f t="shared" si="2"/>
        <v>701692416.92424643</v>
      </c>
      <c r="H39" s="96">
        <f t="shared" si="2"/>
        <v>3349666.67</v>
      </c>
      <c r="I39" s="96">
        <f t="shared" si="2"/>
        <v>1404857.9430512208</v>
      </c>
      <c r="J39" s="96">
        <f t="shared" si="2"/>
        <v>4754524.6130512208</v>
      </c>
      <c r="K39" s="96">
        <f t="shared" si="2"/>
        <v>238078583.29000002</v>
      </c>
      <c r="L39" s="96">
        <f t="shared" si="2"/>
        <v>53505834.041906364</v>
      </c>
      <c r="M39" s="186">
        <f t="shared" si="2"/>
        <v>291584417.33190644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97"/>
      <c r="B40" s="97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6"/>
      <c r="O40" s="52">
        <f>K37-147687958.29</f>
        <v>-14609374.99999997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A41" s="97"/>
      <c r="B41" s="97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97"/>
      <c r="B42" s="9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A43" s="97"/>
      <c r="B43" s="97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58"/>
      <c r="C44" s="158"/>
      <c r="J44" s="100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58"/>
      <c r="C45" s="101" t="s">
        <v>44</v>
      </c>
      <c r="D45" s="158"/>
      <c r="H45" s="102" t="s">
        <v>45</v>
      </c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58"/>
      <c r="C46" s="103"/>
      <c r="D46" s="158"/>
      <c r="H46" s="102"/>
      <c r="J46" s="100"/>
      <c r="K46" s="10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58"/>
      <c r="C47" s="103"/>
      <c r="D47" s="158"/>
      <c r="H47" s="102"/>
      <c r="J47" s="100"/>
      <c r="K47" s="10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58"/>
      <c r="C48" s="103"/>
      <c r="D48" s="158"/>
      <c r="H48" s="102"/>
      <c r="J48" s="100"/>
      <c r="K48" s="10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s="27" customFormat="1" ht="12.75">
      <c r="B49" s="158"/>
      <c r="C49" s="157" t="s">
        <v>86</v>
      </c>
      <c r="D49" s="157"/>
      <c r="E49" s="157"/>
      <c r="H49" s="284" t="s">
        <v>46</v>
      </c>
      <c r="I49" s="284"/>
      <c r="J49" s="108"/>
      <c r="K49" s="105"/>
      <c r="L49" s="15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s="27" customFormat="1" ht="12.75">
      <c r="B50" s="158"/>
      <c r="C50" s="158" t="s">
        <v>47</v>
      </c>
      <c r="D50" s="158"/>
      <c r="E50" s="158"/>
      <c r="H50" s="285" t="s">
        <v>48</v>
      </c>
      <c r="I50" s="285"/>
      <c r="J50" s="100"/>
      <c r="L50" s="158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s="27" customFormat="1" ht="12.75">
      <c r="A51" s="158"/>
      <c r="B51" s="158"/>
      <c r="C51" s="158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s="27" customFormat="1" ht="12.75">
      <c r="B52" s="158"/>
      <c r="C52" s="158"/>
      <c r="D52" s="104"/>
      <c r="J52" s="100"/>
      <c r="K52" s="10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s="27" customFormat="1" ht="12.75">
      <c r="B53" s="158"/>
      <c r="C53" s="158"/>
      <c r="D53" s="104"/>
      <c r="J53" s="100"/>
      <c r="K53" s="10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s="153" customFormat="1" ht="12.75">
      <c r="B54" s="154"/>
      <c r="C54" s="154"/>
      <c r="D54" s="155">
        <f>D39-'[10]Sept 2015'!$D$35</f>
        <v>0</v>
      </c>
      <c r="E54" s="155">
        <f>E39-'[10]Sept 2015'!$E$35</f>
        <v>16109375</v>
      </c>
      <c r="F54" s="155">
        <f>F39-'[10]Sept 2015'!$F$35</f>
        <v>2623996.4199999869</v>
      </c>
      <c r="G54" s="155">
        <f>G39-'[10]Sept 2015'!$G$35</f>
        <v>18733371.419999838</v>
      </c>
      <c r="H54" s="155">
        <f>H39-'[10]Sept 2015'!$H$35</f>
        <v>-16109375.000000002</v>
      </c>
      <c r="I54" s="155">
        <f>I39-'[10]Sept 2015'!$I$35</f>
        <v>-3084649.715125571</v>
      </c>
      <c r="J54" s="155">
        <f>J39-'[10]Sept 2015'!$J$35</f>
        <v>-19194024.715125572</v>
      </c>
      <c r="K54" s="155">
        <f>K39-'[10]Sept 2015'!$K$35</f>
        <v>-16109375</v>
      </c>
      <c r="L54" s="155">
        <f>L39-'[10]Sept 2015'!$L$35</f>
        <v>-3476643.5355555564</v>
      </c>
      <c r="M54" s="155">
        <f>M39-'[10]Sept 2015'!$M$35</f>
        <v>-19586018.535555482</v>
      </c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</row>
    <row r="55" spans="1:47" s="27" customFormat="1" ht="12.75">
      <c r="B55" s="158"/>
      <c r="C55" s="158"/>
      <c r="D55" s="104"/>
      <c r="J55" s="100"/>
      <c r="K55" s="10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s="27" customFormat="1" ht="12.75">
      <c r="B56" s="158"/>
      <c r="C56" s="158"/>
      <c r="D56" s="104"/>
      <c r="E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27" customFormat="1" ht="12.75">
      <c r="B57" s="158"/>
      <c r="C57" s="158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27" customFormat="1" ht="12.75">
      <c r="B58" s="158"/>
      <c r="C58" s="158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27" customFormat="1" ht="12.75">
      <c r="B59" s="158"/>
      <c r="C59" s="158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s="27" customFormat="1" ht="12.75">
      <c r="B60" s="158"/>
      <c r="C60" s="158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27" customFormat="1" ht="12.75">
      <c r="B61" s="158"/>
      <c r="C61" s="158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s="27" customFormat="1" ht="12.75">
      <c r="B62" s="158"/>
      <c r="C62" s="158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s="27" customFormat="1" ht="12.75">
      <c r="B63" s="158"/>
      <c r="C63" s="158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s="27" customFormat="1" ht="12.75">
      <c r="B64" s="158"/>
      <c r="C64" s="158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58"/>
      <c r="C65" s="158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58"/>
      <c r="C66" s="158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58"/>
      <c r="C67" s="158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158"/>
      <c r="C68" s="158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158"/>
      <c r="C69" s="158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158"/>
      <c r="C70" s="158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s="27" customFormat="1" ht="12.75">
      <c r="B71" s="158"/>
      <c r="C71" s="158"/>
      <c r="D71" s="104"/>
      <c r="J71" s="100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2:47" s="27" customFormat="1" ht="12.75">
      <c r="B72" s="158"/>
      <c r="C72" s="158"/>
      <c r="D72" s="104"/>
      <c r="J72" s="10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2:47" s="27" customFormat="1" ht="12.75">
      <c r="B73" s="158"/>
      <c r="C73" s="158"/>
      <c r="D73" s="104"/>
      <c r="J73" s="10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s="27" customFormat="1" ht="12.75">
      <c r="B74" s="158"/>
      <c r="C74" s="158"/>
      <c r="D74" s="104"/>
      <c r="J74" s="10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s="27" customFormat="1" ht="12.75">
      <c r="B75" s="158"/>
      <c r="C75" s="158"/>
      <c r="D75" s="104"/>
      <c r="J75" s="1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2:47" s="27" customFormat="1" ht="12.75">
      <c r="B76" s="158"/>
      <c r="C76" s="158"/>
      <c r="D76" s="104"/>
      <c r="J76" s="100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</sheetData>
  <mergeCells count="12">
    <mergeCell ref="A1:M1"/>
    <mergeCell ref="A2:M2"/>
    <mergeCell ref="A4:M4"/>
    <mergeCell ref="A5:M5"/>
    <mergeCell ref="E7:G7"/>
    <mergeCell ref="H7:J7"/>
    <mergeCell ref="K7:M7"/>
    <mergeCell ref="H49:I49"/>
    <mergeCell ref="H50:I50"/>
    <mergeCell ref="A7:A8"/>
    <mergeCell ref="B7:B8"/>
    <mergeCell ref="C7:C8"/>
  </mergeCells>
  <pageMargins left="0.25" right="0.25" top="0.3" bottom="0.65" header="0.3" footer="0.3"/>
  <pageSetup paperSize="10000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75"/>
  <sheetViews>
    <sheetView view="pageBreakPreview" zoomScaleSheetLayoutView="100" workbookViewId="0">
      <selection activeCell="M17" sqref="M17"/>
    </sheetView>
  </sheetViews>
  <sheetFormatPr defaultRowHeight="12"/>
  <cols>
    <col min="1" max="1" width="40.7109375" style="2" customWidth="1"/>
    <col min="2" max="2" width="17.7109375" style="3" customWidth="1"/>
    <col min="3" max="3" width="58.7109375" style="3" customWidth="1"/>
    <col min="4" max="4" width="15.7109375" style="4" customWidth="1"/>
    <col min="5" max="7" width="15.7109375" style="2" customWidth="1"/>
    <col min="8" max="8" width="14.7109375" style="2" customWidth="1"/>
    <col min="9" max="9" width="13.7109375" style="2" customWidth="1"/>
    <col min="10" max="10" width="14.7109375" style="5" customWidth="1"/>
    <col min="11" max="11" width="15.7109375" style="2" customWidth="1"/>
    <col min="12" max="12" width="14.7109375" style="2" customWidth="1"/>
    <col min="13" max="13" width="15.7109375" style="1" customWidth="1"/>
    <col min="14" max="14" width="9.140625" style="1"/>
    <col min="15" max="15" width="23.140625" style="1" customWidth="1"/>
    <col min="16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47" ht="15">
      <c r="A4" s="286" t="s">
        <v>93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47" ht="15.75">
      <c r="A5" s="291" t="s">
        <v>67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47" ht="12.75" thickBot="1"/>
    <row r="7" spans="1:47">
      <c r="A7" s="300" t="s">
        <v>3</v>
      </c>
      <c r="B7" s="302" t="s">
        <v>4</v>
      </c>
      <c r="C7" s="302" t="s">
        <v>5</v>
      </c>
      <c r="D7" s="8" t="s">
        <v>6</v>
      </c>
      <c r="E7" s="287" t="s">
        <v>94</v>
      </c>
      <c r="F7" s="288"/>
      <c r="G7" s="289"/>
      <c r="H7" s="287" t="s">
        <v>51</v>
      </c>
      <c r="I7" s="288"/>
      <c r="J7" s="289"/>
      <c r="K7" s="287" t="s">
        <v>8</v>
      </c>
      <c r="L7" s="288"/>
      <c r="M7" s="290"/>
    </row>
    <row r="8" spans="1:47" ht="12.75" thickBot="1">
      <c r="A8" s="301"/>
      <c r="B8" s="303"/>
      <c r="C8" s="303"/>
      <c r="D8" s="11" t="s">
        <v>9</v>
      </c>
      <c r="E8" s="12" t="s">
        <v>10</v>
      </c>
      <c r="F8" s="13" t="s">
        <v>11</v>
      </c>
      <c r="G8" s="14" t="s">
        <v>12</v>
      </c>
      <c r="H8" s="15" t="s">
        <v>10</v>
      </c>
      <c r="I8" s="163" t="s">
        <v>11</v>
      </c>
      <c r="J8" s="14" t="s">
        <v>12</v>
      </c>
      <c r="K8" s="13" t="s">
        <v>10</v>
      </c>
      <c r="L8" s="16" t="s">
        <v>11</v>
      </c>
      <c r="M8" s="17" t="s">
        <v>12</v>
      </c>
    </row>
    <row r="9" spans="1:47" ht="12.75">
      <c r="A9" s="18" t="s">
        <v>13</v>
      </c>
      <c r="B9" s="178"/>
      <c r="C9" s="179"/>
      <c r="D9" s="180"/>
      <c r="E9" s="181"/>
      <c r="F9" s="185"/>
      <c r="G9" s="182"/>
      <c r="H9" s="183"/>
      <c r="I9" s="178"/>
      <c r="J9" s="182"/>
      <c r="K9" s="183"/>
      <c r="L9" s="178"/>
      <c r="M9" s="184"/>
    </row>
    <row r="10" spans="1:47" s="27" customFormat="1" ht="12.75">
      <c r="A10" s="28"/>
      <c r="B10" s="30"/>
      <c r="C10" s="20" t="s">
        <v>15</v>
      </c>
      <c r="D10" s="30"/>
      <c r="E10" s="30"/>
      <c r="F10" s="30"/>
      <c r="G10" s="30"/>
      <c r="H10" s="30"/>
      <c r="I10" s="30"/>
      <c r="J10" s="30"/>
      <c r="K10" s="30"/>
      <c r="L10" s="30"/>
      <c r="M10" s="176"/>
      <c r="N10" s="26"/>
      <c r="O10" s="52">
        <f>M11-aug!M8</f>
        <v>-2165013.7000000179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28"/>
      <c r="B11" s="19" t="s">
        <v>14</v>
      </c>
      <c r="C11" s="29" t="s">
        <v>52</v>
      </c>
      <c r="D11" s="21">
        <v>162000000</v>
      </c>
      <c r="E11" s="21">
        <f>'[1]PNB 162M'!$G$63</f>
        <v>60000000</v>
      </c>
      <c r="F11" s="22">
        <f>'[1]PNB 162M'!$F$63</f>
        <v>46575739.744246565</v>
      </c>
      <c r="G11" s="21">
        <f>SUM(E11:F11)</f>
        <v>106575739.74424657</v>
      </c>
      <c r="H11" s="21">
        <f>'[5]NEW 162M'!$C$62</f>
        <v>1500000</v>
      </c>
      <c r="I11" s="21">
        <f>'[5]NEW 162M'!$D$62</f>
        <v>659280.82191780827</v>
      </c>
      <c r="J11" s="23">
        <f>H11+I11</f>
        <v>2159280.8219178081</v>
      </c>
      <c r="K11" s="21">
        <f>D11-E11</f>
        <v>102000000</v>
      </c>
      <c r="L11" s="21">
        <f>'[5]NEW 162M'!$D$131-F11</f>
        <v>23065335.598219194</v>
      </c>
      <c r="M11" s="25">
        <f>SUM(K11:L11)</f>
        <v>125065335.59821919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28"/>
      <c r="B12" s="19"/>
      <c r="C12" s="48" t="s">
        <v>17</v>
      </c>
      <c r="D12" s="21"/>
      <c r="E12" s="21"/>
      <c r="F12" s="21"/>
      <c r="G12" s="21"/>
      <c r="H12" s="21"/>
      <c r="I12" s="21"/>
      <c r="J12" s="23"/>
      <c r="K12" s="21"/>
      <c r="L12" s="21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31"/>
      <c r="B13" s="32"/>
      <c r="C13" s="177"/>
      <c r="D13" s="34"/>
      <c r="E13" s="34"/>
      <c r="F13" s="34"/>
      <c r="G13" s="34"/>
      <c r="H13" s="34"/>
      <c r="I13" s="34"/>
      <c r="J13" s="35"/>
      <c r="K13" s="34"/>
      <c r="L13" s="34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31"/>
      <c r="B14" s="32"/>
      <c r="C14" s="36" t="s">
        <v>56</v>
      </c>
      <c r="D14" s="37">
        <f t="shared" ref="D14:L14" si="0">SUM(D11:D12)</f>
        <v>162000000</v>
      </c>
      <c r="E14" s="37">
        <f t="shared" si="0"/>
        <v>60000000</v>
      </c>
      <c r="F14" s="37">
        <f t="shared" si="0"/>
        <v>46575739.744246565</v>
      </c>
      <c r="G14" s="37">
        <f t="shared" si="0"/>
        <v>106575739.74424657</v>
      </c>
      <c r="H14" s="37">
        <f t="shared" si="0"/>
        <v>1500000</v>
      </c>
      <c r="I14" s="37">
        <f t="shared" si="0"/>
        <v>659280.82191780827</v>
      </c>
      <c r="J14" s="38">
        <f t="shared" si="0"/>
        <v>2159280.8219178081</v>
      </c>
      <c r="K14" s="37">
        <f t="shared" si="0"/>
        <v>102000000</v>
      </c>
      <c r="L14" s="37">
        <f t="shared" si="0"/>
        <v>23065335.598219194</v>
      </c>
      <c r="M14" s="39">
        <f>SUM(K14:L14)</f>
        <v>125065335.59821919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0" t="s">
        <v>19</v>
      </c>
      <c r="B15" s="19"/>
      <c r="C15" s="20"/>
      <c r="D15" s="21"/>
      <c r="E15" s="21"/>
      <c r="F15" s="21"/>
      <c r="G15" s="21"/>
      <c r="H15" s="21"/>
      <c r="I15" s="21"/>
      <c r="J15" s="23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2" t="s">
        <v>20</v>
      </c>
      <c r="B16" s="30"/>
      <c r="C16" s="20" t="s">
        <v>22</v>
      </c>
      <c r="D16" s="30"/>
      <c r="E16" s="30"/>
      <c r="F16" s="30"/>
      <c r="G16" s="30"/>
      <c r="H16" s="30"/>
      <c r="I16" s="30"/>
      <c r="J16" s="30"/>
      <c r="K16" s="30"/>
      <c r="L16" s="30"/>
      <c r="M16" s="17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/>
      <c r="B17" s="19" t="s">
        <v>21</v>
      </c>
      <c r="C17" s="48" t="s">
        <v>23</v>
      </c>
      <c r="D17" s="21">
        <v>200000000</v>
      </c>
      <c r="E17" s="43">
        <f>'[1]NEW CITY HALL (200M)'!$G$108</f>
        <v>199999999.98999998</v>
      </c>
      <c r="F17" s="44">
        <f>'[1]NEW CITY HALL (200M)'!$F$108</f>
        <v>53316189.390000001</v>
      </c>
      <c r="G17" s="21">
        <f>SUM(E17:F17)</f>
        <v>253316189.38</v>
      </c>
      <c r="H17" s="21">
        <v>0</v>
      </c>
      <c r="I17" s="21">
        <v>0</v>
      </c>
      <c r="J17" s="23">
        <v>0</v>
      </c>
      <c r="K17" s="45">
        <f>D17-E17</f>
        <v>1.0000020265579224E-2</v>
      </c>
      <c r="L17" s="21">
        <v>0</v>
      </c>
      <c r="M17" s="46">
        <f>SUM(K17:L17)</f>
        <v>1.0000020265579224E-2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53"/>
      <c r="B18" s="175"/>
      <c r="C18" s="48" t="s">
        <v>24</v>
      </c>
      <c r="D18" s="21"/>
      <c r="E18" s="21"/>
      <c r="F18" s="21"/>
      <c r="G18" s="21"/>
      <c r="H18" s="21"/>
      <c r="I18" s="21"/>
      <c r="J18" s="23"/>
      <c r="K18" s="21"/>
      <c r="L18" s="21"/>
      <c r="M18" s="176"/>
      <c r="N18" s="26"/>
      <c r="O18" s="26"/>
      <c r="P18" s="5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49"/>
      <c r="B19" s="117"/>
      <c r="C19" s="33"/>
      <c r="D19" s="83"/>
      <c r="E19" s="37"/>
      <c r="F19" s="37"/>
      <c r="G19" s="34"/>
      <c r="H19" s="34"/>
      <c r="I19" s="34"/>
      <c r="J19" s="35"/>
      <c r="K19" s="34"/>
      <c r="L19" s="34"/>
      <c r="M19" s="118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3"/>
      <c r="B20" s="19"/>
      <c r="C20" s="48"/>
      <c r="D20" s="21"/>
      <c r="E20" s="21"/>
      <c r="F20" s="21"/>
      <c r="G20" s="21"/>
      <c r="H20" s="21"/>
      <c r="I20" s="21"/>
      <c r="J20" s="54"/>
      <c r="K20" s="21"/>
      <c r="L20" s="21"/>
      <c r="M20" s="4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47" t="s">
        <v>25</v>
      </c>
      <c r="B21" s="55"/>
      <c r="C21" s="20" t="s">
        <v>97</v>
      </c>
      <c r="D21" s="45">
        <v>264000000</v>
      </c>
      <c r="E21" s="45">
        <f>'[1]CONSOL NEW CITY HALL (264)'!$F$213</f>
        <v>242000000</v>
      </c>
      <c r="F21" s="45">
        <f>'[1]CONSOL NEW CITY HALL (264)'!$E$213</f>
        <v>70534166</v>
      </c>
      <c r="G21" s="45">
        <f>SUM(E21:F21)</f>
        <v>312534166</v>
      </c>
      <c r="H21" s="45">
        <v>0</v>
      </c>
      <c r="I21" s="45">
        <v>0</v>
      </c>
      <c r="J21" s="45">
        <f>SUM(H21:I21)</f>
        <v>0</v>
      </c>
      <c r="K21" s="45">
        <f>D21-E21</f>
        <v>22000000</v>
      </c>
      <c r="L21" s="45">
        <f>SUM('[6]NEW 132M'!$D$21:$D$22)</f>
        <v>544194.4444444445</v>
      </c>
      <c r="M21" s="56">
        <f>SUM(K21:L21)</f>
        <v>22544194.444444444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27</v>
      </c>
      <c r="B22" s="55" t="s">
        <v>28</v>
      </c>
      <c r="C22" s="48" t="s">
        <v>30</v>
      </c>
      <c r="D22" s="58"/>
      <c r="E22" s="58"/>
      <c r="F22" s="44"/>
      <c r="G22" s="58"/>
      <c r="H22" s="45"/>
      <c r="I22" s="45"/>
      <c r="J22" s="45"/>
      <c r="K22" s="58"/>
      <c r="L22" s="45"/>
      <c r="M22" s="4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55"/>
      <c r="C23" s="48" t="s">
        <v>24</v>
      </c>
      <c r="D23" s="58"/>
      <c r="E23" s="58"/>
      <c r="F23" s="58"/>
      <c r="G23" s="58"/>
      <c r="H23" s="45"/>
      <c r="I23" s="45"/>
      <c r="J23" s="45"/>
      <c r="K23" s="58"/>
      <c r="L23" s="45"/>
      <c r="M23" s="4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49"/>
      <c r="B24" s="117"/>
      <c r="C24" s="33"/>
      <c r="D24" s="83"/>
      <c r="E24" s="37"/>
      <c r="F24" s="37"/>
      <c r="G24" s="34"/>
      <c r="H24" s="34"/>
      <c r="I24" s="34"/>
      <c r="J24" s="35"/>
      <c r="K24" s="34"/>
      <c r="L24" s="34"/>
      <c r="M24" s="118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28"/>
      <c r="B25" s="55"/>
      <c r="C25" s="20"/>
      <c r="D25" s="21"/>
      <c r="E25" s="21"/>
      <c r="F25" s="21"/>
      <c r="G25" s="21"/>
      <c r="H25" s="45"/>
      <c r="I25" s="58"/>
      <c r="J25" s="68"/>
      <c r="K25" s="21"/>
      <c r="L25" s="58"/>
      <c r="M25" s="6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28" t="s">
        <v>33</v>
      </c>
      <c r="B26" s="55"/>
      <c r="C26" s="20" t="s">
        <v>34</v>
      </c>
      <c r="D26" s="21"/>
      <c r="E26" s="43"/>
      <c r="F26" s="44"/>
      <c r="G26" s="21"/>
      <c r="H26" s="45"/>
      <c r="I26" s="58"/>
      <c r="J26" s="68"/>
      <c r="K26" s="21"/>
      <c r="L26" s="58"/>
      <c r="M26" s="69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28"/>
      <c r="B27" s="196" t="s">
        <v>96</v>
      </c>
      <c r="C27" s="48" t="s">
        <v>30</v>
      </c>
      <c r="D27" s="21">
        <v>8392000</v>
      </c>
      <c r="E27" s="21">
        <f>'[1]LAND (8.3M)'!$F$62</f>
        <v>0</v>
      </c>
      <c r="F27" s="21">
        <f>'[1]LAND (8.3M)'!$E$62</f>
        <v>0</v>
      </c>
      <c r="G27" s="21">
        <f>SUM(E27:F27)</f>
        <v>0</v>
      </c>
      <c r="H27" s="21">
        <f>'[9]8.3M'!$C$31</f>
        <v>349666.67</v>
      </c>
      <c r="I27" s="21">
        <f>'[9]8.3M'!$D$31</f>
        <v>54446.984147111129</v>
      </c>
      <c r="J27" s="54">
        <f>H27+I27</f>
        <v>404113.65414711111</v>
      </c>
      <c r="K27" s="21">
        <f>D27-E27</f>
        <v>8392000</v>
      </c>
      <c r="L27" s="21">
        <f>'[9]8.3M'!$D$39-F27</f>
        <v>2703651.7875760561</v>
      </c>
      <c r="M27" s="56">
        <f>SUM(K27:L27)</f>
        <v>11095651.787576057</v>
      </c>
      <c r="N27" s="26"/>
      <c r="O27" s="52">
        <f>M27-aug!M23</f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28"/>
      <c r="B28" s="19"/>
      <c r="C28" s="48"/>
      <c r="D28" s="21"/>
      <c r="E28" s="21"/>
      <c r="F28" s="21"/>
      <c r="G28" s="21"/>
      <c r="H28" s="21"/>
      <c r="I28" s="21"/>
      <c r="J28" s="23"/>
      <c r="K28" s="21"/>
      <c r="L28" s="21"/>
      <c r="M28" s="56"/>
      <c r="N28" s="26"/>
      <c r="O28" s="52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168"/>
      <c r="B29" s="169"/>
      <c r="C29" s="72"/>
      <c r="D29" s="170"/>
      <c r="E29" s="171"/>
      <c r="F29" s="171"/>
      <c r="G29" s="171"/>
      <c r="H29" s="171"/>
      <c r="I29" s="171"/>
      <c r="J29" s="172"/>
      <c r="K29" s="171"/>
      <c r="L29" s="171"/>
      <c r="M29" s="173"/>
      <c r="N29" s="26"/>
      <c r="O29" s="5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77" t="s">
        <v>38</v>
      </c>
      <c r="B30" s="164"/>
      <c r="C30" s="48" t="s">
        <v>26</v>
      </c>
      <c r="D30" s="165"/>
      <c r="E30" s="80"/>
      <c r="F30" s="80"/>
      <c r="G30" s="80"/>
      <c r="H30" s="80"/>
      <c r="I30" s="80"/>
      <c r="J30" s="166"/>
      <c r="K30" s="80"/>
      <c r="L30" s="80"/>
      <c r="M30" s="167"/>
      <c r="N30" s="26"/>
      <c r="O30" s="52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77" t="s">
        <v>39</v>
      </c>
      <c r="B31" s="78"/>
      <c r="C31" s="48" t="s">
        <v>40</v>
      </c>
      <c r="D31" s="79">
        <v>115500000</v>
      </c>
      <c r="E31" s="21">
        <f>'[1]NEW CITY HALL (231M)'!$G$19</f>
        <v>7218750</v>
      </c>
      <c r="F31" s="21">
        <f>'[1]NEW CITY HALL (231M)'!$F$19</f>
        <v>18560562.810000002</v>
      </c>
      <c r="G31" s="21">
        <f>SUM(E31:F31)</f>
        <v>25779312.810000002</v>
      </c>
      <c r="H31" s="21">
        <v>0</v>
      </c>
      <c r="I31" s="21">
        <v>0</v>
      </c>
      <c r="J31" s="23">
        <f>H31+I31</f>
        <v>0</v>
      </c>
      <c r="K31" s="21">
        <f>D31-E31</f>
        <v>108281250</v>
      </c>
      <c r="L31" s="21">
        <f>'[8]231M'!$D$51-F31</f>
        <v>28084994.481666669</v>
      </c>
      <c r="M31" s="56">
        <f>SUM(K31:L31)</f>
        <v>136366244.48166668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53"/>
      <c r="B32" s="81" t="s">
        <v>41</v>
      </c>
      <c r="C32" s="48" t="s">
        <v>24</v>
      </c>
      <c r="D32" s="79"/>
      <c r="E32" s="80"/>
      <c r="F32" s="80"/>
      <c r="G32" s="21"/>
      <c r="H32" s="21"/>
      <c r="I32" s="21"/>
      <c r="J32" s="23"/>
      <c r="K32" s="21"/>
      <c r="L32" s="21"/>
      <c r="M32" s="5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49"/>
      <c r="B33" s="117"/>
      <c r="C33" s="33"/>
      <c r="D33" s="83"/>
      <c r="E33" s="37"/>
      <c r="F33" s="37"/>
      <c r="G33" s="34"/>
      <c r="H33" s="34"/>
      <c r="I33" s="34"/>
      <c r="J33" s="35"/>
      <c r="K33" s="34"/>
      <c r="L33" s="34"/>
      <c r="M33" s="11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53"/>
      <c r="B34" s="81"/>
      <c r="C34" s="48"/>
      <c r="D34" s="79"/>
      <c r="E34" s="80"/>
      <c r="F34" s="80"/>
      <c r="G34" s="21"/>
      <c r="H34" s="21"/>
      <c r="I34" s="21"/>
      <c r="J34" s="23"/>
      <c r="K34" s="21"/>
      <c r="L34" s="21"/>
      <c r="M34" s="5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59"/>
      <c r="B35" s="82"/>
      <c r="C35" s="33"/>
      <c r="D35" s="83"/>
      <c r="E35" s="34"/>
      <c r="F35" s="34"/>
      <c r="G35" s="34"/>
      <c r="H35" s="34"/>
      <c r="I35" s="34"/>
      <c r="J35" s="35"/>
      <c r="K35" s="34"/>
      <c r="L35" s="34"/>
      <c r="M35" s="8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A36" s="85" t="s">
        <v>42</v>
      </c>
      <c r="B36" s="86"/>
      <c r="C36" s="87"/>
      <c r="D36" s="88">
        <f t="shared" ref="D36:M36" si="1">D17+D21+D27+D31</f>
        <v>587892000</v>
      </c>
      <c r="E36" s="88">
        <f t="shared" si="1"/>
        <v>449218749.99000001</v>
      </c>
      <c r="F36" s="88">
        <f t="shared" si="1"/>
        <v>142410918.19999999</v>
      </c>
      <c r="G36" s="88">
        <f t="shared" si="1"/>
        <v>591629668.19000006</v>
      </c>
      <c r="H36" s="88">
        <f t="shared" si="1"/>
        <v>349666.67</v>
      </c>
      <c r="I36" s="88">
        <f t="shared" si="1"/>
        <v>54446.984147111129</v>
      </c>
      <c r="J36" s="89">
        <f t="shared" si="1"/>
        <v>404113.65414711111</v>
      </c>
      <c r="K36" s="88">
        <f t="shared" si="1"/>
        <v>138673250.01000002</v>
      </c>
      <c r="L36" s="88">
        <f t="shared" si="1"/>
        <v>31332840.71368717</v>
      </c>
      <c r="M36" s="113">
        <f t="shared" si="1"/>
        <v>170006090.7236872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18"/>
      <c r="B37" s="86"/>
      <c r="C37" s="91"/>
      <c r="D37" s="88"/>
      <c r="E37" s="88"/>
      <c r="F37" s="88"/>
      <c r="G37" s="88"/>
      <c r="H37" s="88"/>
      <c r="I37" s="88"/>
      <c r="J37" s="89"/>
      <c r="K37" s="88"/>
      <c r="L37" s="88"/>
      <c r="M37" s="11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3.5" thickBot="1">
      <c r="A38" s="93" t="s">
        <v>43</v>
      </c>
      <c r="B38" s="94"/>
      <c r="C38" s="95"/>
      <c r="D38" s="96">
        <f t="shared" ref="D38:M38" si="2">D14+D36</f>
        <v>749892000</v>
      </c>
      <c r="E38" s="96">
        <f t="shared" si="2"/>
        <v>509218749.99000001</v>
      </c>
      <c r="F38" s="96">
        <f t="shared" si="2"/>
        <v>188986657.94424656</v>
      </c>
      <c r="G38" s="96">
        <f t="shared" si="2"/>
        <v>698205407.93424666</v>
      </c>
      <c r="H38" s="96">
        <f t="shared" si="2"/>
        <v>1849666.67</v>
      </c>
      <c r="I38" s="96">
        <f t="shared" si="2"/>
        <v>713727.80606491934</v>
      </c>
      <c r="J38" s="96">
        <f t="shared" si="2"/>
        <v>2563394.4760649195</v>
      </c>
      <c r="K38" s="96">
        <f t="shared" si="2"/>
        <v>240673250.01000002</v>
      </c>
      <c r="L38" s="96">
        <f t="shared" si="2"/>
        <v>54398176.311906368</v>
      </c>
      <c r="M38" s="186">
        <f t="shared" si="2"/>
        <v>295071426.32190639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A39" s="97"/>
      <c r="B39" s="97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6"/>
      <c r="O39" s="52">
        <f>K36-147687958.29</f>
        <v>-9014708.2799999714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97"/>
      <c r="B40" s="97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A41" s="97"/>
      <c r="B41" s="97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97"/>
      <c r="B42" s="9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61"/>
      <c r="C43" s="161"/>
      <c r="J43" s="100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61"/>
      <c r="C44" s="101" t="s">
        <v>44</v>
      </c>
      <c r="D44" s="161"/>
      <c r="H44" s="102" t="s">
        <v>45</v>
      </c>
      <c r="J44" s="100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61"/>
      <c r="C45" s="103"/>
      <c r="D45" s="161"/>
      <c r="H45" s="102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61"/>
      <c r="C46" s="103"/>
      <c r="D46" s="161"/>
      <c r="H46" s="102"/>
      <c r="J46" s="100"/>
      <c r="K46" s="10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61"/>
      <c r="C47" s="103"/>
      <c r="D47" s="161"/>
      <c r="H47" s="102"/>
      <c r="J47" s="100"/>
      <c r="K47" s="10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61"/>
      <c r="C48" s="160" t="s">
        <v>95</v>
      </c>
      <c r="D48" s="160"/>
      <c r="E48" s="160"/>
      <c r="H48" s="284" t="s">
        <v>46</v>
      </c>
      <c r="I48" s="284"/>
      <c r="J48" s="108"/>
      <c r="K48" s="105"/>
      <c r="L48" s="16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s="27" customFormat="1" ht="12.75">
      <c r="B49" s="161"/>
      <c r="C49" s="161" t="s">
        <v>47</v>
      </c>
      <c r="D49" s="161"/>
      <c r="E49" s="161"/>
      <c r="H49" s="285" t="s">
        <v>48</v>
      </c>
      <c r="I49" s="285"/>
      <c r="J49" s="100"/>
      <c r="L49" s="16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s="27" customFormat="1" ht="12.75">
      <c r="A50" s="161"/>
      <c r="B50" s="161"/>
      <c r="C50" s="161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s="27" customFormat="1" ht="12.75">
      <c r="B51" s="161"/>
      <c r="C51" s="161"/>
      <c r="D51" s="104"/>
      <c r="J51" s="100"/>
      <c r="K51" s="10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s="27" customFormat="1" ht="12.75">
      <c r="B52" s="161"/>
      <c r="C52" s="161"/>
      <c r="D52" s="104"/>
      <c r="J52" s="100"/>
      <c r="K52" s="10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s="153" customFormat="1" ht="12.75">
      <c r="B53" s="154"/>
      <c r="C53" s="154"/>
      <c r="D53" s="155">
        <f>D38-'[10]Sept 2015'!$D$35</f>
        <v>0</v>
      </c>
      <c r="E53" s="155">
        <f>E38-'[10]Sept 2015'!$E$35</f>
        <v>13514708.279999971</v>
      </c>
      <c r="F53" s="155">
        <f>F38-'[10]Sept 2015'!$F$35</f>
        <v>1731654.1499999762</v>
      </c>
      <c r="G53" s="155">
        <f>G38-'[10]Sept 2015'!$G$35</f>
        <v>15246362.430000067</v>
      </c>
      <c r="H53" s="155">
        <f>H38-'[10]Sept 2015'!$H$35</f>
        <v>-17609375</v>
      </c>
      <c r="I53" s="155">
        <f>I38-'[10]Sept 2015'!$I$35</f>
        <v>-3775779.8521118723</v>
      </c>
      <c r="J53" s="155">
        <f>J38-'[10]Sept 2015'!$J$35</f>
        <v>-21385154.852111872</v>
      </c>
      <c r="K53" s="155">
        <f>K38-'[10]Sept 2015'!$K$35</f>
        <v>-13514708.280000001</v>
      </c>
      <c r="L53" s="155">
        <f>L38-'[10]Sept 2015'!$L$35</f>
        <v>-2584301.2655555531</v>
      </c>
      <c r="M53" s="155">
        <f>M38-'[10]Sept 2015'!$M$35</f>
        <v>-16099009.545555532</v>
      </c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</row>
    <row r="54" spans="1:47" s="27" customFormat="1" ht="12.75">
      <c r="B54" s="161"/>
      <c r="C54" s="161"/>
      <c r="D54" s="104"/>
      <c r="J54" s="100"/>
      <c r="K54" s="10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s="27" customFormat="1" ht="12.75">
      <c r="B55" s="161"/>
      <c r="C55" s="161"/>
      <c r="D55" s="104"/>
      <c r="E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s="27" customFormat="1" ht="12.75">
      <c r="B56" s="161"/>
      <c r="C56" s="161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27" customFormat="1" ht="12.75">
      <c r="B57" s="161"/>
      <c r="C57" s="161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27" customFormat="1" ht="12.75">
      <c r="B58" s="161"/>
      <c r="C58" s="161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27" customFormat="1" ht="12.75">
      <c r="B59" s="161"/>
      <c r="C59" s="161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s="27" customFormat="1" ht="12.75">
      <c r="B60" s="161"/>
      <c r="C60" s="161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27" customFormat="1" ht="12.75">
      <c r="B61" s="161"/>
      <c r="C61" s="161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s="27" customFormat="1" ht="12.75">
      <c r="B62" s="161"/>
      <c r="C62" s="161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s="27" customFormat="1" ht="12.75">
      <c r="B63" s="161"/>
      <c r="C63" s="161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s="27" customFormat="1" ht="12.75">
      <c r="B64" s="161"/>
      <c r="C64" s="161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61"/>
      <c r="C65" s="161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61"/>
      <c r="C66" s="161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61"/>
      <c r="C67" s="161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161"/>
      <c r="C68" s="161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161"/>
      <c r="C69" s="161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161"/>
      <c r="C70" s="161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s="27" customFormat="1" ht="12.75">
      <c r="B71" s="161"/>
      <c r="C71" s="161"/>
      <c r="D71" s="104"/>
      <c r="J71" s="100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2:47" s="27" customFormat="1" ht="12.75">
      <c r="B72" s="161"/>
      <c r="C72" s="161"/>
      <c r="D72" s="104"/>
      <c r="J72" s="10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2:47" s="27" customFormat="1" ht="12.75">
      <c r="B73" s="161"/>
      <c r="C73" s="161"/>
      <c r="D73" s="104"/>
      <c r="J73" s="10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s="27" customFormat="1" ht="12.75">
      <c r="B74" s="161"/>
      <c r="C74" s="161"/>
      <c r="D74" s="104"/>
      <c r="J74" s="10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s="27" customFormat="1" ht="12.75">
      <c r="B75" s="161"/>
      <c r="C75" s="161"/>
      <c r="D75" s="104"/>
      <c r="J75" s="1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</sheetData>
  <mergeCells count="12">
    <mergeCell ref="H48:I48"/>
    <mergeCell ref="H49:I49"/>
    <mergeCell ref="A1:M1"/>
    <mergeCell ref="A2:M2"/>
    <mergeCell ref="A4:M4"/>
    <mergeCell ref="A5:M5"/>
    <mergeCell ref="A7:A8"/>
    <mergeCell ref="B7:B8"/>
    <mergeCell ref="C7:C8"/>
    <mergeCell ref="E7:G7"/>
    <mergeCell ref="H7:J7"/>
    <mergeCell ref="K7:M7"/>
  </mergeCells>
  <pageMargins left="0.25" right="0.25" top="0.3" bottom="0.65" header="0.3" footer="0.3"/>
  <pageSetup paperSize="10000"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65"/>
  <sheetViews>
    <sheetView tabSelected="1" view="pageBreakPreview" zoomScaleSheetLayoutView="100" workbookViewId="0">
      <selection activeCell="A13" sqref="A13"/>
    </sheetView>
  </sheetViews>
  <sheetFormatPr defaultRowHeight="15" customHeight="1"/>
  <cols>
    <col min="1" max="1" width="35.85546875" style="2" bestFit="1" customWidth="1"/>
    <col min="2" max="2" width="15.7109375" style="3" bestFit="1" customWidth="1"/>
    <col min="3" max="3" width="50.7109375" style="3" customWidth="1"/>
    <col min="4" max="4" width="14.5703125" style="4" bestFit="1" customWidth="1"/>
    <col min="5" max="6" width="14.5703125" style="2" bestFit="1" customWidth="1"/>
    <col min="7" max="7" width="8.7109375" style="2" customWidth="1"/>
    <col min="8" max="8" width="14.5703125" style="2" bestFit="1" customWidth="1"/>
    <col min="9" max="11" width="10.7109375" style="2" customWidth="1"/>
    <col min="12" max="12" width="14.140625" style="5" bestFit="1" customWidth="1"/>
    <col min="13" max="13" width="14.5703125" style="2" bestFit="1" customWidth="1"/>
    <col min="14" max="14" width="13.5703125" style="2" bestFit="1" customWidth="1"/>
    <col min="15" max="15" width="11" style="2" bestFit="1" customWidth="1"/>
    <col min="16" max="16" width="14.5703125" style="1" bestFit="1" customWidth="1"/>
    <col min="17" max="17" width="9.140625" style="1"/>
    <col min="18" max="18" width="23.140625" style="1" customWidth="1"/>
    <col min="19" max="50" width="9.140625" style="1"/>
    <col min="51" max="16384" width="9.140625" style="2"/>
  </cols>
  <sheetData>
    <row r="1" spans="1:50" s="272" customFormat="1" ht="1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</row>
    <row r="2" spans="1:50" ht="1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50" ht="1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50" s="272" customFormat="1" ht="15" customHeight="1">
      <c r="A4" s="286" t="s">
        <v>106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</row>
    <row r="5" spans="1:50" ht="15" customHeight="1" thickBot="1"/>
    <row r="6" spans="1:50" s="27" customFormat="1" ht="15" customHeight="1">
      <c r="A6" s="292" t="s">
        <v>3</v>
      </c>
      <c r="B6" s="294" t="s">
        <v>4</v>
      </c>
      <c r="C6" s="294" t="s">
        <v>5</v>
      </c>
      <c r="D6" s="187" t="s">
        <v>6</v>
      </c>
      <c r="E6" s="296" t="s">
        <v>107</v>
      </c>
      <c r="F6" s="297"/>
      <c r="G6" s="297"/>
      <c r="H6" s="298"/>
      <c r="I6" s="296" t="s">
        <v>51</v>
      </c>
      <c r="J6" s="297"/>
      <c r="K6" s="297"/>
      <c r="L6" s="298"/>
      <c r="M6" s="296" t="s">
        <v>108</v>
      </c>
      <c r="N6" s="297"/>
      <c r="O6" s="297"/>
      <c r="P6" s="29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s="27" customFormat="1" ht="15" customHeight="1" thickBot="1">
      <c r="A7" s="293"/>
      <c r="B7" s="295"/>
      <c r="C7" s="295"/>
      <c r="D7" s="188" t="s">
        <v>9</v>
      </c>
      <c r="E7" s="189" t="s">
        <v>10</v>
      </c>
      <c r="F7" s="194" t="s">
        <v>11</v>
      </c>
      <c r="G7" s="199" t="s">
        <v>102</v>
      </c>
      <c r="H7" s="191" t="s">
        <v>12</v>
      </c>
      <c r="I7" s="192" t="s">
        <v>10</v>
      </c>
      <c r="J7" s="198" t="s">
        <v>11</v>
      </c>
      <c r="K7" s="199" t="s">
        <v>102</v>
      </c>
      <c r="L7" s="191" t="s">
        <v>12</v>
      </c>
      <c r="M7" s="190" t="s">
        <v>10</v>
      </c>
      <c r="N7" s="194" t="s">
        <v>11</v>
      </c>
      <c r="O7" s="199" t="s">
        <v>102</v>
      </c>
      <c r="P7" s="195" t="s">
        <v>12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ht="15" customHeight="1">
      <c r="A8" s="304" t="s">
        <v>67</v>
      </c>
      <c r="B8" s="297"/>
      <c r="C8" s="298"/>
      <c r="D8" s="180"/>
      <c r="E8" s="181"/>
      <c r="F8" s="183"/>
      <c r="G8" s="181"/>
      <c r="H8" s="182"/>
      <c r="I8" s="183"/>
      <c r="J8" s="178"/>
      <c r="K8" s="182"/>
      <c r="L8" s="182"/>
      <c r="M8" s="183"/>
      <c r="N8" s="178"/>
      <c r="O8" s="178"/>
      <c r="P8" s="184"/>
    </row>
    <row r="9" spans="1:50" ht="15" customHeight="1">
      <c r="A9" s="49" t="s">
        <v>13</v>
      </c>
      <c r="B9" s="178"/>
      <c r="C9" s="179"/>
      <c r="D9" s="180"/>
      <c r="E9" s="181"/>
      <c r="F9" s="183"/>
      <c r="G9" s="181"/>
      <c r="H9" s="182"/>
      <c r="I9" s="183"/>
      <c r="J9" s="178"/>
      <c r="K9" s="182"/>
      <c r="L9" s="182"/>
      <c r="M9" s="183"/>
      <c r="N9" s="178"/>
      <c r="O9" s="178"/>
      <c r="P9" s="184"/>
    </row>
    <row r="10" spans="1:50" ht="15" customHeight="1">
      <c r="A10" s="202"/>
      <c r="B10" s="203"/>
      <c r="C10" s="204" t="s">
        <v>15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5"/>
      <c r="R10" s="206">
        <f>P11-aug!M8</f>
        <v>-2165013.7000000179</v>
      </c>
    </row>
    <row r="11" spans="1:50" ht="15" customHeight="1">
      <c r="A11" s="202"/>
      <c r="B11" s="207" t="s">
        <v>14</v>
      </c>
      <c r="C11" s="267" t="s">
        <v>52</v>
      </c>
      <c r="D11" s="208">
        <v>162000000</v>
      </c>
      <c r="E11" s="208">
        <f>'[1]PNB 162M'!$G$63</f>
        <v>60000000</v>
      </c>
      <c r="F11" s="208">
        <f>'[1]PNB 162M'!$F$63</f>
        <v>46575739.744246565</v>
      </c>
      <c r="G11" s="208">
        <v>0</v>
      </c>
      <c r="H11" s="208">
        <f>SUM(E11:G11)</f>
        <v>106575739.74424657</v>
      </c>
      <c r="I11" s="208">
        <v>0</v>
      </c>
      <c r="J11" s="208">
        <v>0</v>
      </c>
      <c r="K11" s="208">
        <v>0</v>
      </c>
      <c r="L11" s="210">
        <f>I11+J11+K11</f>
        <v>0</v>
      </c>
      <c r="M11" s="208">
        <f>D11-E11</f>
        <v>102000000</v>
      </c>
      <c r="N11" s="208">
        <f>'[5]NEW 162M'!$D$131-F11</f>
        <v>23065335.598219194</v>
      </c>
      <c r="O11" s="208">
        <v>0</v>
      </c>
      <c r="P11" s="211">
        <f>SUM(M11:O11)</f>
        <v>125065335.59821919</v>
      </c>
    </row>
    <row r="12" spans="1:50" ht="15" customHeight="1">
      <c r="A12" s="202"/>
      <c r="B12" s="207"/>
      <c r="C12" s="29" t="s">
        <v>17</v>
      </c>
      <c r="D12" s="208"/>
      <c r="E12" s="208"/>
      <c r="F12" s="208"/>
      <c r="G12" s="208"/>
      <c r="H12" s="208"/>
      <c r="I12" s="208"/>
      <c r="J12" s="208"/>
      <c r="K12" s="208"/>
      <c r="L12" s="210"/>
      <c r="M12" s="208"/>
      <c r="N12" s="208"/>
      <c r="O12" s="208"/>
      <c r="P12" s="211"/>
    </row>
    <row r="13" spans="1:50" ht="15" customHeight="1">
      <c r="A13" s="212"/>
      <c r="B13" s="213"/>
      <c r="C13" s="214"/>
      <c r="D13" s="215"/>
      <c r="E13" s="215"/>
      <c r="F13" s="215"/>
      <c r="G13" s="215"/>
      <c r="H13" s="215"/>
      <c r="I13" s="215"/>
      <c r="J13" s="215"/>
      <c r="K13" s="215"/>
      <c r="L13" s="217"/>
      <c r="M13" s="215"/>
      <c r="N13" s="215"/>
      <c r="O13" s="215"/>
      <c r="P13" s="211"/>
    </row>
    <row r="14" spans="1:50" ht="15" customHeight="1">
      <c r="A14" s="212"/>
      <c r="B14" s="213"/>
      <c r="C14" s="218" t="s">
        <v>56</v>
      </c>
      <c r="D14" s="219">
        <f t="shared" ref="D14:N14" si="0">SUM(D11:D12)</f>
        <v>162000000</v>
      </c>
      <c r="E14" s="219">
        <f t="shared" si="0"/>
        <v>60000000</v>
      </c>
      <c r="F14" s="219">
        <f t="shared" si="0"/>
        <v>46575739.744246565</v>
      </c>
      <c r="G14" s="219">
        <f t="shared" si="0"/>
        <v>0</v>
      </c>
      <c r="H14" s="219">
        <f>SUM(H11:H12)</f>
        <v>106575739.74424657</v>
      </c>
      <c r="I14" s="219">
        <f t="shared" si="0"/>
        <v>0</v>
      </c>
      <c r="J14" s="219">
        <f t="shared" si="0"/>
        <v>0</v>
      </c>
      <c r="K14" s="219">
        <f t="shared" ref="K14" si="1">SUM(K11:K12)</f>
        <v>0</v>
      </c>
      <c r="L14" s="220">
        <f t="shared" si="0"/>
        <v>0</v>
      </c>
      <c r="M14" s="219">
        <f t="shared" si="0"/>
        <v>102000000</v>
      </c>
      <c r="N14" s="219">
        <f t="shared" si="0"/>
        <v>23065335.598219194</v>
      </c>
      <c r="O14" s="219">
        <f t="shared" ref="O14" si="2">SUM(O11:O12)</f>
        <v>0</v>
      </c>
      <c r="P14" s="222">
        <f>SUM(M14:N14)</f>
        <v>125065335.59821919</v>
      </c>
    </row>
    <row r="15" spans="1:50" ht="15" customHeight="1">
      <c r="A15" s="40" t="s">
        <v>19</v>
      </c>
      <c r="B15" s="207"/>
      <c r="C15" s="204"/>
      <c r="D15" s="208"/>
      <c r="E15" s="208"/>
      <c r="F15" s="208"/>
      <c r="G15" s="208"/>
      <c r="H15" s="208"/>
      <c r="I15" s="208"/>
      <c r="J15" s="208"/>
      <c r="K15" s="208"/>
      <c r="L15" s="210"/>
      <c r="M15" s="208"/>
      <c r="N15" s="208"/>
      <c r="O15" s="208"/>
      <c r="P15" s="205"/>
    </row>
    <row r="16" spans="1:50" ht="15" customHeight="1">
      <c r="A16" s="42" t="s">
        <v>20</v>
      </c>
      <c r="B16" s="203"/>
      <c r="C16" s="204" t="s">
        <v>22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5"/>
    </row>
    <row r="17" spans="1:19" ht="15" customHeight="1">
      <c r="A17" s="223"/>
      <c r="B17" s="207" t="s">
        <v>21</v>
      </c>
      <c r="C17" s="29" t="s">
        <v>23</v>
      </c>
      <c r="D17" s="208">
        <v>200000000</v>
      </c>
      <c r="E17" s="224">
        <f>'[1]NEW CITY HALL (200M)'!$G$108</f>
        <v>199999999.98999998</v>
      </c>
      <c r="F17" s="224">
        <f>'[1]NEW CITY HALL (200M)'!$F$108</f>
        <v>53316189.390000001</v>
      </c>
      <c r="G17" s="224">
        <v>0</v>
      </c>
      <c r="H17" s="208">
        <f>SUM(E17:G17)</f>
        <v>253316189.38</v>
      </c>
      <c r="I17" s="208">
        <v>0</v>
      </c>
      <c r="J17" s="208">
        <v>0</v>
      </c>
      <c r="K17" s="224">
        <v>0</v>
      </c>
      <c r="L17" s="210">
        <f>I17+J17+K17</f>
        <v>0</v>
      </c>
      <c r="M17" s="225">
        <f>D17-E17</f>
        <v>1.0000020265579224E-2</v>
      </c>
      <c r="N17" s="208">
        <v>0</v>
      </c>
      <c r="O17" s="224">
        <v>0</v>
      </c>
      <c r="P17" s="211">
        <f>SUM(M17:O17)</f>
        <v>1.0000020265579224E-2</v>
      </c>
    </row>
    <row r="18" spans="1:19" ht="15" customHeight="1">
      <c r="A18" s="227"/>
      <c r="B18" s="228"/>
      <c r="C18" s="29" t="s">
        <v>24</v>
      </c>
      <c r="D18" s="208"/>
      <c r="E18" s="208"/>
      <c r="F18" s="208"/>
      <c r="G18" s="208"/>
      <c r="H18" s="208"/>
      <c r="I18" s="208"/>
      <c r="J18" s="208"/>
      <c r="K18" s="208"/>
      <c r="L18" s="210"/>
      <c r="M18" s="208"/>
      <c r="N18" s="208"/>
      <c r="O18" s="208"/>
      <c r="P18" s="205"/>
      <c r="S18" s="206"/>
    </row>
    <row r="19" spans="1:19" ht="15" customHeight="1">
      <c r="A19" s="201"/>
      <c r="B19" s="229"/>
      <c r="C19" s="230"/>
      <c r="D19" s="216"/>
      <c r="E19" s="219"/>
      <c r="F19" s="219"/>
      <c r="G19" s="219"/>
      <c r="H19" s="215"/>
      <c r="I19" s="215"/>
      <c r="J19" s="215"/>
      <c r="K19" s="219"/>
      <c r="L19" s="217"/>
      <c r="M19" s="215"/>
      <c r="N19" s="215"/>
      <c r="O19" s="219"/>
      <c r="P19" s="231"/>
    </row>
    <row r="20" spans="1:19" ht="15" customHeight="1">
      <c r="A20" s="227"/>
      <c r="B20" s="207"/>
      <c r="C20" s="29"/>
      <c r="D20" s="208"/>
      <c r="E20" s="208"/>
      <c r="F20" s="208"/>
      <c r="G20" s="208"/>
      <c r="H20" s="208"/>
      <c r="I20" s="208"/>
      <c r="J20" s="208"/>
      <c r="K20" s="208"/>
      <c r="L20" s="232"/>
      <c r="M20" s="208"/>
      <c r="N20" s="208"/>
      <c r="O20" s="208"/>
      <c r="P20" s="205"/>
    </row>
    <row r="21" spans="1:19" ht="15" customHeight="1">
      <c r="A21" s="47" t="s">
        <v>25</v>
      </c>
      <c r="B21" s="233"/>
      <c r="C21" s="265" t="s">
        <v>97</v>
      </c>
      <c r="D21" s="225">
        <v>264000000</v>
      </c>
      <c r="E21" s="225">
        <f>'[1]CONSOL NEW CITY HALL (264)'!$F$213</f>
        <v>242000000</v>
      </c>
      <c r="F21" s="225">
        <f>'[1]CONSOL NEW CITY HALL (264)'!$E$213</f>
        <v>70534166</v>
      </c>
      <c r="G21" s="225">
        <v>0</v>
      </c>
      <c r="H21" s="208">
        <f>SUM(E21:G21)</f>
        <v>312534166</v>
      </c>
      <c r="I21" s="225">
        <v>0</v>
      </c>
      <c r="J21" s="225">
        <v>0</v>
      </c>
      <c r="K21" s="225">
        <v>0</v>
      </c>
      <c r="L21" s="210">
        <f>I21+J21+K21</f>
        <v>0</v>
      </c>
      <c r="M21" s="225">
        <f>D21-E21</f>
        <v>22000000</v>
      </c>
      <c r="N21" s="225">
        <f>SUM('[6]NEW 132M'!$D$21:$D$22)</f>
        <v>544194.4444444445</v>
      </c>
      <c r="O21" s="225">
        <v>0</v>
      </c>
      <c r="P21" s="211">
        <f>SUM(M21:O21)</f>
        <v>22544194.444444444</v>
      </c>
    </row>
    <row r="22" spans="1:19" ht="15" customHeight="1">
      <c r="A22" s="202" t="s">
        <v>27</v>
      </c>
      <c r="B22" s="233" t="s">
        <v>28</v>
      </c>
      <c r="C22" s="29" t="s">
        <v>30</v>
      </c>
      <c r="D22" s="235"/>
      <c r="E22" s="235"/>
      <c r="F22" s="224"/>
      <c r="G22" s="224"/>
      <c r="H22" s="235"/>
      <c r="I22" s="225"/>
      <c r="J22" s="225"/>
      <c r="K22" s="224"/>
      <c r="L22" s="225"/>
      <c r="M22" s="235"/>
      <c r="N22" s="225"/>
      <c r="O22" s="224"/>
      <c r="P22" s="226"/>
    </row>
    <row r="23" spans="1:19" ht="15" customHeight="1">
      <c r="A23" s="202"/>
      <c r="B23" s="233"/>
      <c r="C23" s="29" t="s">
        <v>24</v>
      </c>
      <c r="D23" s="235"/>
      <c r="E23" s="235"/>
      <c r="F23" s="235"/>
      <c r="G23" s="235"/>
      <c r="H23" s="235"/>
      <c r="I23" s="225"/>
      <c r="J23" s="225"/>
      <c r="K23" s="235"/>
      <c r="L23" s="225"/>
      <c r="M23" s="235"/>
      <c r="N23" s="225"/>
      <c r="O23" s="235"/>
      <c r="P23" s="226"/>
    </row>
    <row r="24" spans="1:19" ht="15" customHeight="1">
      <c r="A24" s="201"/>
      <c r="B24" s="229"/>
      <c r="C24" s="230"/>
      <c r="D24" s="216"/>
      <c r="E24" s="219"/>
      <c r="F24" s="219"/>
      <c r="G24" s="219"/>
      <c r="H24" s="215"/>
      <c r="I24" s="215"/>
      <c r="J24" s="215"/>
      <c r="K24" s="219"/>
      <c r="L24" s="217"/>
      <c r="M24" s="215"/>
      <c r="N24" s="215"/>
      <c r="O24" s="219"/>
      <c r="P24" s="231"/>
    </row>
    <row r="25" spans="1:19" ht="15" customHeight="1">
      <c r="A25" s="202"/>
      <c r="B25" s="233"/>
      <c r="C25" s="204"/>
      <c r="D25" s="208"/>
      <c r="E25" s="208"/>
      <c r="F25" s="208"/>
      <c r="G25" s="208"/>
      <c r="H25" s="208"/>
      <c r="I25" s="225"/>
      <c r="J25" s="235"/>
      <c r="K25" s="208"/>
      <c r="L25" s="236"/>
      <c r="M25" s="208"/>
      <c r="N25" s="235"/>
      <c r="O25" s="208"/>
      <c r="P25" s="237"/>
    </row>
    <row r="26" spans="1:19" ht="15" customHeight="1">
      <c r="A26" s="202" t="s">
        <v>33</v>
      </c>
      <c r="B26" s="233"/>
      <c r="C26" s="266" t="s">
        <v>34</v>
      </c>
      <c r="D26" s="208"/>
      <c r="E26" s="224"/>
      <c r="F26" s="224"/>
      <c r="G26" s="224"/>
      <c r="H26" s="208"/>
      <c r="I26" s="225"/>
      <c r="J26" s="235"/>
      <c r="K26" s="224"/>
      <c r="L26" s="236"/>
      <c r="M26" s="208"/>
      <c r="N26" s="235"/>
      <c r="O26" s="224"/>
      <c r="P26" s="237"/>
    </row>
    <row r="27" spans="1:19" ht="15" customHeight="1">
      <c r="A27" s="202"/>
      <c r="B27" s="270" t="s">
        <v>96</v>
      </c>
      <c r="C27" s="29" t="s">
        <v>30</v>
      </c>
      <c r="D27" s="208">
        <v>8392000</v>
      </c>
      <c r="E27" s="208">
        <f>'[1]LAND (8.3M)'!$F$69</f>
        <v>5944333.3899999997</v>
      </c>
      <c r="F27" s="208">
        <f>'[1]LAND (8.3M)'!$E$69</f>
        <v>2194093.2800000003</v>
      </c>
      <c r="G27" s="208">
        <v>0</v>
      </c>
      <c r="H27" s="208">
        <f>SUM(E27:G27)</f>
        <v>8138426.6699999999</v>
      </c>
      <c r="I27" s="208">
        <v>0</v>
      </c>
      <c r="J27" s="208">
        <v>0</v>
      </c>
      <c r="K27" s="208">
        <v>0</v>
      </c>
      <c r="L27" s="210">
        <f>I27+J27+K27</f>
        <v>0</v>
      </c>
      <c r="M27" s="208">
        <f>D27-E27</f>
        <v>2447666.6100000003</v>
      </c>
      <c r="N27" s="208">
        <f>'[9]8.3M'!$D$39-F27</f>
        <v>509558.50757605582</v>
      </c>
      <c r="O27" s="208">
        <v>0</v>
      </c>
      <c r="P27" s="211">
        <f>SUM(M27:O27)</f>
        <v>2957225.1175760562</v>
      </c>
      <c r="R27" s="206">
        <f>P27-aug!M23</f>
        <v>-8138426.6700000009</v>
      </c>
    </row>
    <row r="28" spans="1:19" ht="15" customHeight="1">
      <c r="A28" s="202"/>
      <c r="B28" s="207"/>
      <c r="C28" s="29"/>
      <c r="D28" s="208"/>
      <c r="E28" s="208"/>
      <c r="F28" s="208"/>
      <c r="G28" s="208"/>
      <c r="H28" s="208"/>
      <c r="I28" s="208"/>
      <c r="J28" s="208"/>
      <c r="K28" s="208"/>
      <c r="L28" s="210"/>
      <c r="M28" s="208"/>
      <c r="N28" s="208"/>
      <c r="O28" s="208"/>
      <c r="P28" s="234"/>
      <c r="R28" s="206"/>
    </row>
    <row r="29" spans="1:19" ht="15" customHeight="1">
      <c r="A29" s="239"/>
      <c r="B29" s="240"/>
      <c r="C29" s="241"/>
      <c r="D29" s="242"/>
      <c r="E29" s="243"/>
      <c r="F29" s="243"/>
      <c r="G29" s="243"/>
      <c r="H29" s="243"/>
      <c r="I29" s="243"/>
      <c r="J29" s="243"/>
      <c r="K29" s="243"/>
      <c r="L29" s="244"/>
      <c r="M29" s="243"/>
      <c r="N29" s="243"/>
      <c r="O29" s="243"/>
      <c r="P29" s="245"/>
      <c r="R29" s="206"/>
    </row>
    <row r="30" spans="1:19" ht="15" customHeight="1">
      <c r="A30" s="246" t="s">
        <v>38</v>
      </c>
      <c r="B30" s="247"/>
      <c r="C30" s="29" t="s">
        <v>26</v>
      </c>
      <c r="D30" s="248"/>
      <c r="E30" s="249"/>
      <c r="F30" s="249"/>
      <c r="G30" s="249"/>
      <c r="H30" s="249"/>
      <c r="I30" s="249"/>
      <c r="J30" s="249"/>
      <c r="K30" s="249"/>
      <c r="L30" s="250"/>
      <c r="M30" s="249"/>
      <c r="N30" s="249"/>
      <c r="O30" s="249"/>
      <c r="P30" s="251"/>
      <c r="R30" s="206"/>
    </row>
    <row r="31" spans="1:19" ht="15" customHeight="1">
      <c r="A31" s="246" t="s">
        <v>39</v>
      </c>
      <c r="B31" s="252"/>
      <c r="C31" s="29" t="s">
        <v>40</v>
      </c>
      <c r="D31" s="209">
        <v>115500000</v>
      </c>
      <c r="E31" s="208">
        <f>'[1]NEW CITY HALL (231M)'!$G$19</f>
        <v>7218750</v>
      </c>
      <c r="F31" s="208">
        <f>'[1]NEW CITY HALL (231M)'!$F$19</f>
        <v>18560562.810000002</v>
      </c>
      <c r="G31" s="208">
        <v>0</v>
      </c>
      <c r="H31" s="208">
        <f>SUM(E31:G31)</f>
        <v>25779312.810000002</v>
      </c>
      <c r="I31" s="208">
        <v>0</v>
      </c>
      <c r="J31" s="208">
        <v>0</v>
      </c>
      <c r="K31" s="208">
        <v>0</v>
      </c>
      <c r="L31" s="210">
        <f>I31+J31+K31</f>
        <v>0</v>
      </c>
      <c r="M31" s="208">
        <f>D31-E31</f>
        <v>108281250</v>
      </c>
      <c r="N31" s="208">
        <f>'[8]231M'!$D$51-F31</f>
        <v>28084994.481666669</v>
      </c>
      <c r="O31" s="208">
        <v>0</v>
      </c>
      <c r="P31" s="211">
        <f>SUM(M31:O31)</f>
        <v>136366244.48166668</v>
      </c>
    </row>
    <row r="32" spans="1:19" ht="15" customHeight="1">
      <c r="A32" s="227"/>
      <c r="B32" s="253" t="s">
        <v>41</v>
      </c>
      <c r="C32" s="29" t="s">
        <v>24</v>
      </c>
      <c r="D32" s="209"/>
      <c r="E32" s="249"/>
      <c r="F32" s="249"/>
      <c r="G32" s="249"/>
      <c r="H32" s="208"/>
      <c r="I32" s="208"/>
      <c r="J32" s="208"/>
      <c r="K32" s="249"/>
      <c r="L32" s="210"/>
      <c r="M32" s="208"/>
      <c r="N32" s="208"/>
      <c r="O32" s="249"/>
      <c r="P32" s="234"/>
    </row>
    <row r="33" spans="1:19" ht="15" customHeight="1">
      <c r="A33" s="201"/>
      <c r="B33" s="229"/>
      <c r="C33" s="230"/>
      <c r="D33" s="216"/>
      <c r="E33" s="219"/>
      <c r="F33" s="219"/>
      <c r="G33" s="219"/>
      <c r="H33" s="215"/>
      <c r="I33" s="215"/>
      <c r="J33" s="215"/>
      <c r="K33" s="219"/>
      <c r="L33" s="217"/>
      <c r="M33" s="215"/>
      <c r="N33" s="215"/>
      <c r="O33" s="219"/>
      <c r="P33" s="231"/>
    </row>
    <row r="34" spans="1:19" ht="15" customHeight="1">
      <c r="A34" s="239"/>
      <c r="B34" s="240"/>
      <c r="C34" s="241"/>
      <c r="D34" s="242"/>
      <c r="E34" s="243"/>
      <c r="F34" s="243"/>
      <c r="G34" s="243"/>
      <c r="H34" s="243"/>
      <c r="I34" s="243"/>
      <c r="J34" s="243"/>
      <c r="K34" s="243"/>
      <c r="L34" s="244"/>
      <c r="M34" s="243"/>
      <c r="N34" s="243"/>
      <c r="O34" s="243"/>
      <c r="P34" s="245"/>
      <c r="R34" s="206"/>
    </row>
    <row r="35" spans="1:19" ht="15" customHeight="1">
      <c r="A35" s="246" t="s">
        <v>38</v>
      </c>
      <c r="B35" s="247"/>
      <c r="C35" s="29" t="s">
        <v>104</v>
      </c>
      <c r="D35" s="248"/>
      <c r="E35" s="249"/>
      <c r="F35" s="249"/>
      <c r="G35" s="249"/>
      <c r="H35" s="249"/>
      <c r="I35" s="249"/>
      <c r="J35" s="249"/>
      <c r="K35" s="249"/>
      <c r="L35" s="250"/>
      <c r="M35" s="249"/>
      <c r="N35" s="249"/>
      <c r="O35" s="249"/>
      <c r="P35" s="251"/>
      <c r="R35" s="206"/>
    </row>
    <row r="36" spans="1:19" ht="15" customHeight="1">
      <c r="A36" s="246" t="s">
        <v>39</v>
      </c>
      <c r="B36" s="253" t="s">
        <v>103</v>
      </c>
      <c r="C36" s="29" t="s">
        <v>105</v>
      </c>
      <c r="D36" s="209">
        <v>80000000</v>
      </c>
      <c r="E36" s="208">
        <v>0</v>
      </c>
      <c r="F36" s="208">
        <v>0</v>
      </c>
      <c r="G36" s="208">
        <v>0</v>
      </c>
      <c r="H36" s="208">
        <f>SUM(E36:G36)</f>
        <v>0</v>
      </c>
      <c r="I36" s="208">
        <v>0</v>
      </c>
      <c r="J36" s="208">
        <v>0</v>
      </c>
      <c r="K36" s="208">
        <v>0</v>
      </c>
      <c r="L36" s="210">
        <f>I36+J36+K36</f>
        <v>0</v>
      </c>
      <c r="M36" s="208">
        <f>D36-E36</f>
        <v>80000000</v>
      </c>
      <c r="N36" s="208">
        <f>4249259.26+13050074.05</f>
        <v>17299333.310000002</v>
      </c>
      <c r="O36" s="208">
        <f>42492.59+473814.81</f>
        <v>516307.4</v>
      </c>
      <c r="P36" s="211">
        <f>SUM(M36:O36)</f>
        <v>97815640.710000008</v>
      </c>
    </row>
    <row r="37" spans="1:19" ht="15" customHeight="1">
      <c r="A37" s="227"/>
      <c r="B37" s="268"/>
      <c r="C37" s="29" t="s">
        <v>24</v>
      </c>
      <c r="D37" s="209"/>
      <c r="E37" s="249"/>
      <c r="F37" s="249"/>
      <c r="G37" s="249"/>
      <c r="H37" s="208"/>
      <c r="I37" s="208"/>
      <c r="J37" s="208"/>
      <c r="K37" s="249"/>
      <c r="L37" s="210"/>
      <c r="M37" s="208"/>
      <c r="N37" s="208"/>
      <c r="O37" s="249"/>
      <c r="P37" s="234"/>
    </row>
    <row r="38" spans="1:19" ht="15" customHeight="1">
      <c r="A38" s="201"/>
      <c r="B38" s="229"/>
      <c r="C38" s="230"/>
      <c r="D38" s="216"/>
      <c r="E38" s="219"/>
      <c r="F38" s="219"/>
      <c r="G38" s="219"/>
      <c r="H38" s="215"/>
      <c r="I38" s="215"/>
      <c r="J38" s="215"/>
      <c r="K38" s="219"/>
      <c r="L38" s="217"/>
      <c r="M38" s="215"/>
      <c r="N38" s="215"/>
      <c r="O38" s="219"/>
      <c r="P38" s="231"/>
    </row>
    <row r="39" spans="1:19" ht="15" customHeight="1" thickBot="1">
      <c r="A39" s="85"/>
      <c r="B39" s="254"/>
      <c r="C39" s="218" t="s">
        <v>56</v>
      </c>
      <c r="D39" s="221">
        <f>SUM(D15:D38)</f>
        <v>667892000</v>
      </c>
      <c r="E39" s="221">
        <f t="shared" ref="E39:P39" si="3">SUM(E15:E38)</f>
        <v>455163083.38</v>
      </c>
      <c r="F39" s="221">
        <f t="shared" si="3"/>
        <v>144605011.48000002</v>
      </c>
      <c r="G39" s="221">
        <f t="shared" si="3"/>
        <v>0</v>
      </c>
      <c r="H39" s="221">
        <f t="shared" si="3"/>
        <v>599768094.8599999</v>
      </c>
      <c r="I39" s="221">
        <f t="shared" si="3"/>
        <v>0</v>
      </c>
      <c r="J39" s="221">
        <f t="shared" si="3"/>
        <v>0</v>
      </c>
      <c r="K39" s="221">
        <f t="shared" si="3"/>
        <v>0</v>
      </c>
      <c r="L39" s="221">
        <f t="shared" si="3"/>
        <v>0</v>
      </c>
      <c r="M39" s="221">
        <f t="shared" si="3"/>
        <v>212728916.62</v>
      </c>
      <c r="N39" s="221">
        <f t="shared" si="3"/>
        <v>46438080.743687168</v>
      </c>
      <c r="O39" s="221">
        <f t="shared" si="3"/>
        <v>516307.4</v>
      </c>
      <c r="P39" s="269">
        <f t="shared" si="3"/>
        <v>259683304.76368722</v>
      </c>
    </row>
    <row r="40" spans="1:19" ht="15" customHeight="1">
      <c r="A40" s="304" t="s">
        <v>66</v>
      </c>
      <c r="B40" s="297"/>
      <c r="C40" s="298"/>
      <c r="D40" s="180"/>
      <c r="E40" s="181"/>
      <c r="F40" s="183"/>
      <c r="G40" s="183"/>
      <c r="H40" s="182"/>
      <c r="I40" s="183"/>
      <c r="J40" s="178"/>
      <c r="K40" s="183"/>
      <c r="L40" s="182"/>
      <c r="M40" s="183"/>
      <c r="N40" s="178"/>
      <c r="O40" s="183"/>
      <c r="P40" s="184"/>
    </row>
    <row r="41" spans="1:19" ht="15" customHeight="1">
      <c r="A41" s="40" t="s">
        <v>19</v>
      </c>
      <c r="B41" s="207"/>
      <c r="C41" s="204"/>
      <c r="D41" s="208"/>
      <c r="E41" s="208"/>
      <c r="F41" s="208"/>
      <c r="G41" s="208"/>
      <c r="H41" s="208"/>
      <c r="I41" s="208"/>
      <c r="J41" s="208"/>
      <c r="K41" s="208"/>
      <c r="L41" s="210"/>
      <c r="M41" s="208"/>
      <c r="N41" s="208"/>
      <c r="O41" s="208"/>
      <c r="P41" s="205"/>
    </row>
    <row r="42" spans="1:19" ht="15" customHeight="1">
      <c r="A42" s="42" t="s">
        <v>98</v>
      </c>
      <c r="B42" s="203"/>
      <c r="C42" s="204" t="s">
        <v>100</v>
      </c>
      <c r="D42" s="208">
        <v>12000000</v>
      </c>
      <c r="E42" s="224">
        <v>0</v>
      </c>
      <c r="F42" s="224">
        <v>0</v>
      </c>
      <c r="G42" s="224">
        <v>0</v>
      </c>
      <c r="H42" s="208">
        <f>SUM(E42:G42)</f>
        <v>0</v>
      </c>
      <c r="I42" s="208">
        <v>0</v>
      </c>
      <c r="J42" s="208">
        <v>0</v>
      </c>
      <c r="K42" s="224">
        <v>0</v>
      </c>
      <c r="L42" s="210">
        <f>I42+J42+K42</f>
        <v>0</v>
      </c>
      <c r="M42" s="225">
        <f>D42</f>
        <v>12000000</v>
      </c>
      <c r="N42" s="208">
        <f>610000+2814398.17</f>
        <v>3424398.17</v>
      </c>
      <c r="O42" s="224">
        <f>6100+67169.91</f>
        <v>73269.91</v>
      </c>
      <c r="P42" s="211">
        <f>SUM(M42:O42)</f>
        <v>15497668.08</v>
      </c>
    </row>
    <row r="43" spans="1:19" ht="15" customHeight="1">
      <c r="A43" s="223"/>
      <c r="B43" s="238" t="s">
        <v>99</v>
      </c>
      <c r="C43" s="255" t="s">
        <v>101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5"/>
    </row>
    <row r="44" spans="1:19" ht="15" customHeight="1">
      <c r="A44" s="227"/>
      <c r="B44" s="228"/>
      <c r="C44" s="29" t="s">
        <v>24</v>
      </c>
      <c r="D44" s="208"/>
      <c r="E44" s="208"/>
      <c r="F44" s="208"/>
      <c r="G44" s="208"/>
      <c r="H44" s="208"/>
      <c r="I44" s="208"/>
      <c r="J44" s="208"/>
      <c r="K44" s="208"/>
      <c r="L44" s="210"/>
      <c r="M44" s="208"/>
      <c r="N44" s="208"/>
      <c r="O44" s="208"/>
      <c r="P44" s="205"/>
      <c r="S44" s="206"/>
    </row>
    <row r="45" spans="1:19" ht="15" customHeight="1">
      <c r="A45" s="201"/>
      <c r="B45" s="229"/>
      <c r="C45" s="230"/>
      <c r="D45" s="216"/>
      <c r="E45" s="219"/>
      <c r="F45" s="219"/>
      <c r="G45" s="219"/>
      <c r="H45" s="215"/>
      <c r="I45" s="215"/>
      <c r="J45" s="215"/>
      <c r="K45" s="219"/>
      <c r="L45" s="217"/>
      <c r="M45" s="215"/>
      <c r="N45" s="215"/>
      <c r="O45" s="219"/>
      <c r="P45" s="231"/>
    </row>
    <row r="46" spans="1:19" ht="15" customHeight="1">
      <c r="A46" s="85"/>
      <c r="B46" s="254"/>
      <c r="C46" s="218" t="s">
        <v>56</v>
      </c>
      <c r="D46" s="221">
        <f>SUM(D41:D45)</f>
        <v>12000000</v>
      </c>
      <c r="E46" s="221">
        <f t="shared" ref="E46:P46" si="4">SUM(E41:E45)</f>
        <v>0</v>
      </c>
      <c r="F46" s="221">
        <f t="shared" si="4"/>
        <v>0</v>
      </c>
      <c r="G46" s="221">
        <f t="shared" si="4"/>
        <v>0</v>
      </c>
      <c r="H46" s="221">
        <f t="shared" si="4"/>
        <v>0</v>
      </c>
      <c r="I46" s="221">
        <f t="shared" si="4"/>
        <v>0</v>
      </c>
      <c r="J46" s="221">
        <f t="shared" si="4"/>
        <v>0</v>
      </c>
      <c r="K46" s="221">
        <f t="shared" si="4"/>
        <v>0</v>
      </c>
      <c r="L46" s="221">
        <f t="shared" si="4"/>
        <v>0</v>
      </c>
      <c r="M46" s="221">
        <f t="shared" si="4"/>
        <v>12000000</v>
      </c>
      <c r="N46" s="221">
        <f t="shared" si="4"/>
        <v>3424398.17</v>
      </c>
      <c r="O46" s="221">
        <f t="shared" si="4"/>
        <v>73269.91</v>
      </c>
      <c r="P46" s="269">
        <f t="shared" si="4"/>
        <v>15497668.08</v>
      </c>
    </row>
    <row r="47" spans="1:19" ht="15" customHeight="1">
      <c r="A47" s="201"/>
      <c r="B47" s="229"/>
      <c r="C47" s="230"/>
      <c r="D47" s="216"/>
      <c r="E47" s="219"/>
      <c r="F47" s="219"/>
      <c r="G47" s="219"/>
      <c r="H47" s="215"/>
      <c r="I47" s="215"/>
      <c r="J47" s="215"/>
      <c r="K47" s="219"/>
      <c r="L47" s="217"/>
      <c r="M47" s="215"/>
      <c r="N47" s="215"/>
      <c r="O47" s="219"/>
      <c r="P47" s="231"/>
    </row>
    <row r="48" spans="1:19" ht="15" customHeight="1" thickBot="1">
      <c r="A48" s="93" t="s">
        <v>43</v>
      </c>
      <c r="B48" s="256"/>
      <c r="C48" s="257"/>
      <c r="D48" s="258">
        <f>D14+D39+D46</f>
        <v>841892000</v>
      </c>
      <c r="E48" s="258">
        <f t="shared" ref="E48:P48" si="5">E14+E39+E46</f>
        <v>515163083.38</v>
      </c>
      <c r="F48" s="258">
        <f t="shared" si="5"/>
        <v>191180751.22424659</v>
      </c>
      <c r="G48" s="258">
        <f t="shared" si="5"/>
        <v>0</v>
      </c>
      <c r="H48" s="258">
        <f t="shared" si="5"/>
        <v>706343834.6042465</v>
      </c>
      <c r="I48" s="258">
        <f t="shared" si="5"/>
        <v>0</v>
      </c>
      <c r="J48" s="258">
        <f t="shared" si="5"/>
        <v>0</v>
      </c>
      <c r="K48" s="258">
        <f t="shared" si="5"/>
        <v>0</v>
      </c>
      <c r="L48" s="258">
        <f t="shared" si="5"/>
        <v>0</v>
      </c>
      <c r="M48" s="258">
        <f t="shared" si="5"/>
        <v>326728916.62</v>
      </c>
      <c r="N48" s="258">
        <f t="shared" si="5"/>
        <v>72927814.511906371</v>
      </c>
      <c r="O48" s="258">
        <f t="shared" si="5"/>
        <v>589577.31000000006</v>
      </c>
      <c r="P48" s="259">
        <f t="shared" si="5"/>
        <v>400246308.44190639</v>
      </c>
      <c r="R48" s="206">
        <f>P48-'[11]2016'!$P$60-'[11]2016'!$P$62</f>
        <v>73517391.831906378</v>
      </c>
    </row>
    <row r="49" spans="1:50" s="272" customFormat="1" ht="15" customHeight="1">
      <c r="A49" s="273"/>
      <c r="B49" s="273"/>
      <c r="C49" s="273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1"/>
      <c r="R49" s="275">
        <f>M39-147687958.29</f>
        <v>65040958.330000013</v>
      </c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</row>
    <row r="50" spans="1:50" s="272" customFormat="1" ht="15" customHeight="1">
      <c r="A50" s="273"/>
      <c r="B50" s="273"/>
      <c r="C50" s="273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</row>
    <row r="51" spans="1:50" s="272" customFormat="1" ht="15" customHeight="1">
      <c r="A51" s="273"/>
      <c r="B51" s="273"/>
      <c r="C51" s="273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</row>
    <row r="52" spans="1:50" s="272" customFormat="1" ht="15" customHeight="1">
      <c r="A52" s="273"/>
      <c r="B52" s="273"/>
      <c r="C52" s="273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</row>
    <row r="53" spans="1:50" s="272" customFormat="1" ht="15" customHeight="1">
      <c r="B53" s="276"/>
      <c r="C53" s="276"/>
      <c r="L53" s="277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</row>
    <row r="54" spans="1:50" s="272" customFormat="1" ht="15" customHeight="1">
      <c r="B54" s="276"/>
      <c r="C54" s="278" t="s">
        <v>44</v>
      </c>
      <c r="D54" s="276"/>
      <c r="J54" s="279" t="s">
        <v>45</v>
      </c>
      <c r="L54" s="277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</row>
    <row r="55" spans="1:50" s="272" customFormat="1" ht="15" customHeight="1">
      <c r="B55" s="276"/>
      <c r="C55" s="280"/>
      <c r="D55" s="276"/>
      <c r="J55" s="279"/>
      <c r="L55" s="277"/>
      <c r="M55" s="28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</row>
    <row r="56" spans="1:50" s="272" customFormat="1" ht="15" customHeight="1">
      <c r="B56" s="276"/>
      <c r="C56" s="280"/>
      <c r="D56" s="276"/>
      <c r="J56" s="279"/>
      <c r="L56" s="277"/>
      <c r="M56" s="28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</row>
    <row r="57" spans="1:50" s="272" customFormat="1" ht="15" customHeight="1">
      <c r="B57" s="276"/>
      <c r="C57" s="280"/>
      <c r="D57" s="276"/>
      <c r="J57" s="279"/>
      <c r="L57" s="277"/>
      <c r="M57" s="282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</row>
    <row r="58" spans="1:50" s="272" customFormat="1" ht="15" customHeight="1">
      <c r="B58" s="276"/>
      <c r="C58" s="197" t="s">
        <v>95</v>
      </c>
      <c r="D58" s="197"/>
      <c r="E58" s="197"/>
      <c r="J58" s="286" t="s">
        <v>46</v>
      </c>
      <c r="K58" s="286"/>
      <c r="L58" s="286"/>
      <c r="M58" s="283"/>
      <c r="N58" s="197"/>
      <c r="O58" s="197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</row>
    <row r="59" spans="1:50" s="272" customFormat="1" ht="15" customHeight="1">
      <c r="B59" s="276"/>
      <c r="C59" s="276" t="s">
        <v>47</v>
      </c>
      <c r="D59" s="276"/>
      <c r="E59" s="276"/>
      <c r="J59" s="305" t="s">
        <v>48</v>
      </c>
      <c r="K59" s="305"/>
      <c r="L59" s="305"/>
      <c r="N59" s="276"/>
      <c r="O59" s="276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</row>
    <row r="60" spans="1:50" ht="15" customHeight="1">
      <c r="A60" s="3"/>
      <c r="D60" s="2"/>
    </row>
    <row r="61" spans="1:50" ht="15" customHeight="1">
      <c r="M61" s="260"/>
    </row>
    <row r="62" spans="1:50" ht="15" customHeight="1">
      <c r="M62" s="4"/>
    </row>
    <row r="63" spans="1:50" s="261" customFormat="1" ht="15" customHeight="1">
      <c r="B63" s="262"/>
      <c r="C63" s="262"/>
      <c r="D63" s="263">
        <f>D48-'[10]Sept 2015'!$D$35</f>
        <v>92000000</v>
      </c>
      <c r="E63" s="263">
        <f>E48-'[10]Sept 2015'!$E$35</f>
        <v>19459041.669999957</v>
      </c>
      <c r="F63" s="263">
        <f>F48-'[10]Sept 2015'!$F$35</f>
        <v>3925747.4300000072</v>
      </c>
      <c r="G63" s="263"/>
      <c r="H63" s="263">
        <f>H48-'[10]Sept 2015'!$G$35</f>
        <v>23384789.099999905</v>
      </c>
      <c r="I63" s="263">
        <f>I48-'[10]Sept 2015'!$H$35</f>
        <v>-19459041.670000002</v>
      </c>
      <c r="J63" s="263">
        <f>J48-'[10]Sept 2015'!$I$35</f>
        <v>-4489507.6581767919</v>
      </c>
      <c r="K63" s="263"/>
      <c r="L63" s="263">
        <f>L48-'[10]Sept 2015'!$J$35</f>
        <v>-23948549.328176793</v>
      </c>
      <c r="M63" s="263">
        <f>M48-'[10]Sept 2015'!$K$35</f>
        <v>72540958.329999983</v>
      </c>
      <c r="N63" s="263">
        <f>N48-'[10]Sept 2015'!$L$35</f>
        <v>15945336.93444445</v>
      </c>
      <c r="O63" s="263"/>
      <c r="P63" s="263">
        <f>P48-'[10]Sept 2015'!$M$35</f>
        <v>89075872.574444473</v>
      </c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</row>
    <row r="64" spans="1:50" ht="15" customHeight="1">
      <c r="M64" s="260"/>
    </row>
    <row r="65" spans="5:5" ht="15" customHeight="1">
      <c r="E65" s="4"/>
    </row>
  </sheetData>
  <sheetProtection password="ECC3" sheet="1" objects="1" scenarios="1"/>
  <mergeCells count="13">
    <mergeCell ref="A8:C8"/>
    <mergeCell ref="A40:C40"/>
    <mergeCell ref="J58:L58"/>
    <mergeCell ref="J59:L59"/>
    <mergeCell ref="A1:P1"/>
    <mergeCell ref="A2:P2"/>
    <mergeCell ref="A4:P4"/>
    <mergeCell ref="A6:A7"/>
    <mergeCell ref="B6:B7"/>
    <mergeCell ref="C6:C7"/>
    <mergeCell ref="E6:H6"/>
    <mergeCell ref="I6:L6"/>
    <mergeCell ref="M6:P6"/>
  </mergeCells>
  <pageMargins left="0.25" right="0.25" top="0.3" bottom="0.65" header="0.3" footer="0.3"/>
  <pageSetup paperSize="10000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86"/>
  <sheetViews>
    <sheetView workbookViewId="0">
      <selection activeCell="C36" sqref="C36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61</v>
      </c>
      <c r="F6" s="288"/>
      <c r="G6" s="289"/>
      <c r="H6" s="287" t="s">
        <v>62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</f>
        <v>60000000</v>
      </c>
      <c r="F8" s="22">
        <f>'[1]PNB 162M'!$F$63</f>
        <v>46575739.744246565</v>
      </c>
      <c r="G8" s="21">
        <f>SUM(E8:F8)</f>
        <v>106575739.74424657</v>
      </c>
      <c r="H8" s="21">
        <f>SUM('[2]NEW 162M'!$C$63:$C$74)</f>
        <v>18000000</v>
      </c>
      <c r="I8" s="21">
        <f>'[2]NEW 162M'!$H$74</f>
        <v>7285849.3150684927</v>
      </c>
      <c r="J8" s="23">
        <f>H8+I8</f>
        <v>25285849.315068491</v>
      </c>
      <c r="K8" s="21">
        <f>D8-E8</f>
        <v>102000000</v>
      </c>
      <c r="L8" s="24">
        <f>SUM('[2]NEW 162M'!$D$131-F8)</f>
        <v>23065335.598219194</v>
      </c>
      <c r="M8" s="25">
        <f>SUM(K8:L8)</f>
        <v>125065335.59821919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60000000</v>
      </c>
      <c r="F11" s="37">
        <f>SUM(F8:F10)</f>
        <v>46575739.744246565</v>
      </c>
      <c r="G11" s="37">
        <f t="shared" si="0"/>
        <v>106575739.74424657</v>
      </c>
      <c r="H11" s="37">
        <f t="shared" si="0"/>
        <v>18000000</v>
      </c>
      <c r="I11" s="37">
        <f t="shared" si="0"/>
        <v>7285849.3150684927</v>
      </c>
      <c r="J11" s="38">
        <f t="shared" si="0"/>
        <v>25285849.315068491</v>
      </c>
      <c r="K11" s="37">
        <f t="shared" si="0"/>
        <v>102000000</v>
      </c>
      <c r="L11" s="37">
        <f>SUM(L8:L10)</f>
        <v>23065335.598219194</v>
      </c>
      <c r="M11" s="39">
        <f>SUM(K11:L11)</f>
        <v>125065335.59821919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(200M)'!$G$108+0.01</f>
        <v>199999999.99999997</v>
      </c>
      <c r="F13" s="44">
        <f>'[1]NEW CITY HALL (200M)'!$F$108</f>
        <v>53316189.390000001</v>
      </c>
      <c r="G13" s="21">
        <f>SUM(E13:F13)</f>
        <v>253316189.38999999</v>
      </c>
      <c r="H13" s="21">
        <v>0</v>
      </c>
      <c r="I13" s="21">
        <v>0</v>
      </c>
      <c r="J13" s="23">
        <v>0</v>
      </c>
      <c r="K13" s="45">
        <f>D13-E13</f>
        <v>0</v>
      </c>
      <c r="L13" s="21">
        <v>0</v>
      </c>
      <c r="M13" s="46">
        <f>SUM(K13:L13)</f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242000000</v>
      </c>
      <c r="F17" s="45">
        <f>'[1]CONSOL NEW CITY HALL (264)'!$E$213</f>
        <v>70534166</v>
      </c>
      <c r="G17" s="45">
        <f>SUM(E17:F17)</f>
        <v>312534166</v>
      </c>
      <c r="H17" s="45">
        <v>21967794.449999999</v>
      </c>
      <c r="I17" s="45">
        <v>543136.13</v>
      </c>
      <c r="J17" s="45">
        <f>SUM(H17:I17)</f>
        <v>22510930.579999998</v>
      </c>
      <c r="K17" s="45">
        <v>21967794.449999999</v>
      </c>
      <c r="L17" s="45">
        <v>543136.13</v>
      </c>
      <c r="M17" s="56">
        <f>SUM(K17:L17)</f>
        <v>22510930.579999998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0</v>
      </c>
      <c r="F23" s="21">
        <f>'[1]LAND (8.3M)'!$E$62</f>
        <v>0</v>
      </c>
      <c r="G23" s="21">
        <f>SUM(E23:F23)</f>
        <v>0</v>
      </c>
      <c r="H23" s="21">
        <f>SUM('[3]8.3M'!$C$32:$C$35)</f>
        <v>1398666.68</v>
      </c>
      <c r="I23" s="21">
        <f>SUM('[3]8.3M'!$D$32:$D$35)</f>
        <v>150551.89239475012</v>
      </c>
      <c r="J23" s="54">
        <f>H23+I23</f>
        <v>1549218.5723947501</v>
      </c>
      <c r="K23" s="21">
        <f>D23-E23</f>
        <v>8392000</v>
      </c>
      <c r="L23" s="21">
        <f>[1]INTEREST!$D$9</f>
        <v>509558.50757605629</v>
      </c>
      <c r="M23" s="56">
        <f>SUM(K23:L23)</f>
        <v>8901558.5075760558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7218750</v>
      </c>
      <c r="F26" s="21">
        <f>'[1]NEW CITY HALL (231M)'!$F$19</f>
        <v>18560562.810000002</v>
      </c>
      <c r="G26" s="21">
        <f>SUM(E26:F26)</f>
        <v>25779312.810000002</v>
      </c>
      <c r="H26" s="21">
        <f>SUM('[4]231M'!$C$21:$C$24)</f>
        <v>14437500</v>
      </c>
      <c r="I26" s="21">
        <f>SUM('[4]231M'!$D$21:$D$24)</f>
        <v>6778255.859375</v>
      </c>
      <c r="J26" s="23">
        <f>H26+I26</f>
        <v>21215755.859375</v>
      </c>
      <c r="K26" s="21">
        <f>D26-E26</f>
        <v>108281250</v>
      </c>
      <c r="L26" s="21">
        <f>[1]INTEREST!$D$6</f>
        <v>28084994.481666669</v>
      </c>
      <c r="M26" s="56">
        <f>SUM(K26:L26)</f>
        <v>136366244.48166668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3" t="s">
        <v>65</v>
      </c>
      <c r="B29" s="81"/>
      <c r="C29" s="48"/>
      <c r="D29" s="79"/>
      <c r="E29" s="80"/>
      <c r="F29" s="80"/>
      <c r="G29" s="21"/>
      <c r="H29" s="21"/>
      <c r="I29" s="21"/>
      <c r="J29" s="23"/>
      <c r="K29" s="21"/>
      <c r="L29" s="21"/>
      <c r="M29" s="5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53"/>
      <c r="B30" s="81"/>
      <c r="C30" s="48"/>
      <c r="D30" s="79"/>
      <c r="E30" s="80"/>
      <c r="F30" s="80"/>
      <c r="G30" s="21"/>
      <c r="H30" s="21"/>
      <c r="I30" s="21"/>
      <c r="J30" s="23"/>
      <c r="K30" s="21"/>
      <c r="L30" s="21"/>
      <c r="M30" s="5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19" t="s">
        <v>38</v>
      </c>
      <c r="B31" s="81" t="s">
        <v>68</v>
      </c>
      <c r="C31" s="48" t="s">
        <v>26</v>
      </c>
      <c r="D31" s="79"/>
      <c r="E31" s="80"/>
      <c r="F31" s="80"/>
      <c r="G31" s="21"/>
      <c r="H31" s="21"/>
      <c r="I31" s="21"/>
      <c r="J31" s="23"/>
      <c r="K31" s="21"/>
      <c r="L31" s="21"/>
      <c r="M31" s="5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119" t="s">
        <v>39</v>
      </c>
      <c r="B32" s="120" t="s">
        <v>64</v>
      </c>
      <c r="C32" s="48" t="s">
        <v>40</v>
      </c>
      <c r="D32" s="79">
        <v>115500000</v>
      </c>
      <c r="E32" s="80">
        <v>0</v>
      </c>
      <c r="F32" s="21">
        <f>[4]Sheet1!$H$11</f>
        <v>1876875</v>
      </c>
      <c r="G32" s="21">
        <f>SUM(E32:F32)</f>
        <v>1876875</v>
      </c>
      <c r="H32" s="21">
        <v>0</v>
      </c>
      <c r="I32" s="21">
        <f>[4]Sheet1!$H$15</f>
        <v>7632625</v>
      </c>
      <c r="J32" s="23">
        <f>H32+I32</f>
        <v>7632625</v>
      </c>
      <c r="K32" s="21">
        <f>D32-E32</f>
        <v>115500000</v>
      </c>
      <c r="L32" s="21">
        <f>[4]Sheet1!$D$51-F32</f>
        <v>44231687.5</v>
      </c>
      <c r="M32" s="56">
        <f>SUM(K32:L32)</f>
        <v>159731687.5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53"/>
      <c r="B33" s="81"/>
      <c r="C33" s="48" t="s">
        <v>24</v>
      </c>
      <c r="D33" s="79"/>
      <c r="E33" s="80"/>
      <c r="F33" s="80"/>
      <c r="G33" s="21"/>
      <c r="H33" s="21"/>
      <c r="I33" s="21"/>
      <c r="J33" s="23"/>
      <c r="K33" s="21"/>
      <c r="L33" s="21"/>
      <c r="M33" s="5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53"/>
      <c r="B34" s="81"/>
      <c r="C34" s="48"/>
      <c r="D34" s="79"/>
      <c r="E34" s="80"/>
      <c r="F34" s="80"/>
      <c r="G34" s="21"/>
      <c r="H34" s="21"/>
      <c r="I34" s="21"/>
      <c r="J34" s="23"/>
      <c r="K34" s="21"/>
      <c r="L34" s="21"/>
      <c r="M34" s="5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59"/>
      <c r="B35" s="82"/>
      <c r="C35" s="33"/>
      <c r="D35" s="83"/>
      <c r="E35" s="34"/>
      <c r="F35" s="34"/>
      <c r="G35" s="34"/>
      <c r="H35" s="34"/>
      <c r="I35" s="34"/>
      <c r="J35" s="35"/>
      <c r="K35" s="34"/>
      <c r="L35" s="34"/>
      <c r="M35" s="8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3.5" thickBot="1">
      <c r="A36" s="85" t="s">
        <v>42</v>
      </c>
      <c r="B36" s="86"/>
      <c r="C36" s="87"/>
      <c r="D36" s="88">
        <f t="shared" ref="D36:M36" si="1">D13+D17+D23+D26+D32</f>
        <v>703392000</v>
      </c>
      <c r="E36" s="88">
        <f t="shared" si="1"/>
        <v>449218750</v>
      </c>
      <c r="F36" s="88">
        <f t="shared" si="1"/>
        <v>144287793.19999999</v>
      </c>
      <c r="G36" s="88">
        <f t="shared" si="1"/>
        <v>593506543.20000005</v>
      </c>
      <c r="H36" s="88">
        <f t="shared" si="1"/>
        <v>37803961.129999995</v>
      </c>
      <c r="I36" s="88">
        <f t="shared" si="1"/>
        <v>15104568.88176975</v>
      </c>
      <c r="J36" s="89">
        <f t="shared" si="1"/>
        <v>52908530.011769749</v>
      </c>
      <c r="K36" s="88">
        <f t="shared" si="1"/>
        <v>254141044.44999999</v>
      </c>
      <c r="L36" s="88">
        <f t="shared" si="1"/>
        <v>73369376.619242728</v>
      </c>
      <c r="M36" s="90">
        <f t="shared" si="1"/>
        <v>327510421.06924272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18"/>
      <c r="B37" s="86"/>
      <c r="C37" s="91"/>
      <c r="D37" s="88"/>
      <c r="E37" s="88"/>
      <c r="F37" s="88"/>
      <c r="G37" s="88"/>
      <c r="H37" s="88"/>
      <c r="I37" s="88"/>
      <c r="J37" s="89"/>
      <c r="K37" s="88"/>
      <c r="L37" s="88"/>
      <c r="M37" s="9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3.5" thickBot="1">
      <c r="A38" s="93" t="s">
        <v>43</v>
      </c>
      <c r="B38" s="94"/>
      <c r="C38" s="95"/>
      <c r="D38" s="96">
        <f t="shared" ref="D38:M38" si="2">D11+D36</f>
        <v>865392000</v>
      </c>
      <c r="E38" s="96">
        <f t="shared" si="2"/>
        <v>509218750</v>
      </c>
      <c r="F38" s="96">
        <f t="shared" si="2"/>
        <v>190863532.94424656</v>
      </c>
      <c r="G38" s="96">
        <f t="shared" si="2"/>
        <v>700082282.94424665</v>
      </c>
      <c r="H38" s="96">
        <f t="shared" si="2"/>
        <v>55803961.129999995</v>
      </c>
      <c r="I38" s="96">
        <f t="shared" si="2"/>
        <v>22390418.196838245</v>
      </c>
      <c r="J38" s="96">
        <f t="shared" si="2"/>
        <v>78194379.32683824</v>
      </c>
      <c r="K38" s="96">
        <f t="shared" si="2"/>
        <v>356141044.44999999</v>
      </c>
      <c r="L38" s="96">
        <f t="shared" si="2"/>
        <v>96434712.217461914</v>
      </c>
      <c r="M38" s="96">
        <f t="shared" si="2"/>
        <v>452575756.66746187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A39" s="97"/>
      <c r="B39" s="97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97"/>
      <c r="B40" s="97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5.75">
      <c r="A41" s="307" t="s">
        <v>66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3.5" thickBot="1">
      <c r="A42" s="97"/>
      <c r="B42" s="9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>
      <c r="A43" s="6" t="s">
        <v>3</v>
      </c>
      <c r="B43" s="7" t="s">
        <v>4</v>
      </c>
      <c r="C43" s="7" t="s">
        <v>5</v>
      </c>
      <c r="D43" s="8" t="s">
        <v>6</v>
      </c>
      <c r="E43" s="287" t="s">
        <v>61</v>
      </c>
      <c r="F43" s="288"/>
      <c r="G43" s="289"/>
      <c r="H43" s="287" t="s">
        <v>62</v>
      </c>
      <c r="I43" s="288"/>
      <c r="J43" s="289"/>
      <c r="K43" s="287" t="s">
        <v>8</v>
      </c>
      <c r="L43" s="288"/>
      <c r="M43" s="290"/>
    </row>
    <row r="44" spans="1:47" ht="12.75" thickBot="1">
      <c r="A44" s="9"/>
      <c r="B44" s="10"/>
      <c r="C44" s="10"/>
      <c r="D44" s="11" t="s">
        <v>9</v>
      </c>
      <c r="E44" s="12" t="s">
        <v>10</v>
      </c>
      <c r="F44" s="13" t="s">
        <v>11</v>
      </c>
      <c r="G44" s="14" t="s">
        <v>12</v>
      </c>
      <c r="H44" s="15" t="s">
        <v>10</v>
      </c>
      <c r="I44" s="10" t="s">
        <v>11</v>
      </c>
      <c r="J44" s="14" t="s">
        <v>12</v>
      </c>
      <c r="K44" s="13" t="s">
        <v>10</v>
      </c>
      <c r="L44" s="16" t="s">
        <v>11</v>
      </c>
      <c r="M44" s="17" t="s">
        <v>12</v>
      </c>
    </row>
    <row r="45" spans="1:47" s="27" customFormat="1" ht="12.75">
      <c r="A45" s="121"/>
      <c r="B45" s="124"/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A46" s="122" t="s">
        <v>65</v>
      </c>
      <c r="B46" s="127"/>
      <c r="C46" s="127"/>
      <c r="D46" s="80"/>
      <c r="E46" s="80"/>
      <c r="F46" s="80"/>
      <c r="G46" s="80"/>
      <c r="H46" s="80"/>
      <c r="I46" s="80"/>
      <c r="J46" s="80"/>
      <c r="K46" s="80"/>
      <c r="L46" s="80"/>
      <c r="M46" s="128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A47" s="122"/>
      <c r="B47" s="127"/>
      <c r="C47" s="127"/>
      <c r="D47" s="80"/>
      <c r="E47" s="80"/>
      <c r="F47" s="80"/>
      <c r="G47" s="80"/>
      <c r="H47" s="80"/>
      <c r="I47" s="80"/>
      <c r="J47" s="80"/>
      <c r="K47" s="80"/>
      <c r="L47" s="80"/>
      <c r="M47" s="128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A48" s="133" t="s">
        <v>58</v>
      </c>
      <c r="B48" s="136" t="s">
        <v>63</v>
      </c>
      <c r="C48" s="19" t="s">
        <v>59</v>
      </c>
      <c r="D48" s="21"/>
      <c r="E48" s="21"/>
      <c r="F48" s="21"/>
      <c r="G48" s="21"/>
      <c r="H48" s="21"/>
      <c r="I48" s="21"/>
      <c r="J48" s="21"/>
      <c r="K48" s="21"/>
      <c r="L48" s="21"/>
      <c r="M48" s="13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s="27" customFormat="1" ht="12.75">
      <c r="A49" s="133"/>
      <c r="B49" s="19" t="s">
        <v>64</v>
      </c>
      <c r="C49" s="19" t="s">
        <v>60</v>
      </c>
      <c r="D49" s="21">
        <v>80000000</v>
      </c>
      <c r="E49" s="21">
        <v>0</v>
      </c>
      <c r="F49" s="21">
        <v>2000000</v>
      </c>
      <c r="G49" s="21">
        <v>2000000</v>
      </c>
      <c r="H49" s="21">
        <f>SUM([12]Sheet1!$C$12:$C$15)</f>
        <v>4444444.444444444</v>
      </c>
      <c r="I49" s="21">
        <f>[12]Sheet1!$H$15</f>
        <v>3972222.222222222</v>
      </c>
      <c r="J49" s="21">
        <v>10583333.333333332</v>
      </c>
      <c r="K49" s="21">
        <v>80000000</v>
      </c>
      <c r="L49" s="21">
        <f>[12]Sheet1!$D$50-F49</f>
        <v>19499999.999999989</v>
      </c>
      <c r="M49" s="134">
        <f>K49+L49</f>
        <v>99499999.999999985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s="27" customFormat="1" ht="13.5" thickBot="1">
      <c r="A50" s="123"/>
      <c r="B50" s="94"/>
      <c r="C50" s="135" t="s">
        <v>24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30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s="27" customFormat="1" ht="13.5" thickBot="1">
      <c r="A51" s="93" t="s">
        <v>12</v>
      </c>
      <c r="B51" s="94"/>
      <c r="C51" s="95"/>
      <c r="D51" s="96">
        <f>D49</f>
        <v>80000000</v>
      </c>
      <c r="E51" s="96">
        <f t="shared" ref="E51" si="3">E49</f>
        <v>0</v>
      </c>
      <c r="F51" s="96">
        <f t="shared" ref="F51:M51" si="4">F49</f>
        <v>2000000</v>
      </c>
      <c r="G51" s="96">
        <f t="shared" si="4"/>
        <v>2000000</v>
      </c>
      <c r="H51" s="96">
        <f t="shared" si="4"/>
        <v>4444444.444444444</v>
      </c>
      <c r="I51" s="96">
        <f t="shared" si="4"/>
        <v>3972222.222222222</v>
      </c>
      <c r="J51" s="96">
        <f t="shared" si="4"/>
        <v>10583333.333333332</v>
      </c>
      <c r="K51" s="96">
        <f t="shared" si="4"/>
        <v>80000000</v>
      </c>
      <c r="L51" s="96">
        <f t="shared" si="4"/>
        <v>19499999.999999989</v>
      </c>
      <c r="M51" s="96">
        <f t="shared" si="4"/>
        <v>99499999.999999985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s="27" customFormat="1" ht="12.75">
      <c r="A52" s="97"/>
      <c r="B52" s="97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s="27" customFormat="1" ht="12.75">
      <c r="A53" s="97"/>
      <c r="B53" s="97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s="27" customFormat="1" ht="12.75">
      <c r="A54" s="97"/>
      <c r="B54" s="97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s="27" customFormat="1" ht="12.75">
      <c r="B55" s="115"/>
      <c r="C55" s="115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s="27" customFormat="1" ht="12.75">
      <c r="B56" s="115"/>
      <c r="C56" s="101" t="s">
        <v>44</v>
      </c>
      <c r="D56" s="115"/>
      <c r="H56" s="102" t="s">
        <v>45</v>
      </c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27" customFormat="1" ht="12.75">
      <c r="B57" s="115"/>
      <c r="C57" s="103"/>
      <c r="D57" s="115"/>
      <c r="H57" s="102"/>
      <c r="J57" s="100"/>
      <c r="K57" s="10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27" customFormat="1" ht="12.75">
      <c r="B58" s="115"/>
      <c r="C58" s="103"/>
      <c r="D58" s="115"/>
      <c r="H58" s="102"/>
      <c r="J58" s="100"/>
      <c r="K58" s="105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27" customFormat="1" ht="12.75">
      <c r="B59" s="115"/>
      <c r="C59" s="114" t="s">
        <v>49</v>
      </c>
      <c r="D59" s="114"/>
      <c r="E59" s="114"/>
      <c r="H59" s="284" t="s">
        <v>46</v>
      </c>
      <c r="I59" s="284"/>
      <c r="J59" s="108"/>
      <c r="K59" s="105"/>
      <c r="L59" s="11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s="27" customFormat="1" ht="12.75">
      <c r="B60" s="115"/>
      <c r="C60" s="115" t="s">
        <v>47</v>
      </c>
      <c r="D60" s="115"/>
      <c r="E60" s="115"/>
      <c r="H60" s="285" t="s">
        <v>48</v>
      </c>
      <c r="I60" s="285"/>
      <c r="J60" s="100"/>
      <c r="L60" s="11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27" customFormat="1" ht="12.75">
      <c r="A61" s="115"/>
      <c r="B61" s="115"/>
      <c r="C61" s="115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s="27" customFormat="1" ht="12.75">
      <c r="B62" s="115"/>
      <c r="C62" s="115"/>
      <c r="D62" s="104"/>
      <c r="J62" s="100"/>
      <c r="K62" s="105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s="27" customFormat="1" ht="12.75">
      <c r="B63" s="115"/>
      <c r="C63" s="115"/>
      <c r="D63" s="104"/>
      <c r="J63" s="100"/>
      <c r="K63" s="10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s="27" customFormat="1" ht="12.75">
      <c r="B64" s="115"/>
      <c r="C64" s="115"/>
      <c r="D64" s="104"/>
      <c r="J64" s="100"/>
      <c r="K64" s="10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15"/>
      <c r="C65" s="115"/>
      <c r="D65" s="104"/>
      <c r="J65" s="100"/>
      <c r="K65" s="10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15"/>
      <c r="C66" s="115"/>
      <c r="D66" s="104"/>
      <c r="E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15"/>
      <c r="C67" s="115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115"/>
      <c r="C68" s="115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115"/>
      <c r="C69" s="115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115"/>
      <c r="C70" s="115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s="27" customFormat="1" ht="12.75">
      <c r="B71" s="115"/>
      <c r="C71" s="115"/>
      <c r="D71" s="104"/>
      <c r="J71" s="100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2:47" s="27" customFormat="1" ht="12.75">
      <c r="B72" s="115"/>
      <c r="C72" s="115"/>
      <c r="D72" s="104"/>
      <c r="J72" s="10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2:47" s="27" customFormat="1" ht="12.75">
      <c r="B73" s="115"/>
      <c r="C73" s="115"/>
      <c r="D73" s="104"/>
      <c r="J73" s="10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s="27" customFormat="1" ht="12.75">
      <c r="B74" s="115"/>
      <c r="C74" s="115"/>
      <c r="D74" s="104"/>
      <c r="J74" s="10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s="27" customFormat="1" ht="12.75">
      <c r="B75" s="115"/>
      <c r="C75" s="115"/>
      <c r="D75" s="104"/>
      <c r="J75" s="1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2:47" s="27" customFormat="1" ht="12.75">
      <c r="B76" s="115"/>
      <c r="C76" s="115"/>
      <c r="D76" s="104"/>
      <c r="J76" s="100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2:47" s="27" customFormat="1" ht="12.75">
      <c r="B77" s="115"/>
      <c r="C77" s="115"/>
      <c r="D77" s="104"/>
      <c r="J77" s="100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2:47" s="27" customFormat="1" ht="12.75">
      <c r="B78" s="115"/>
      <c r="C78" s="115"/>
      <c r="D78" s="104"/>
      <c r="J78" s="100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spans="2:47" s="27" customFormat="1" ht="12.75">
      <c r="B79" s="115"/>
      <c r="C79" s="115"/>
      <c r="D79" s="104"/>
      <c r="J79" s="100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2:47" s="27" customFormat="1" ht="12.75">
      <c r="B80" s="115"/>
      <c r="C80" s="115"/>
      <c r="D80" s="104"/>
      <c r="J80" s="100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2:47" s="27" customFormat="1" ht="12.75">
      <c r="B81" s="115"/>
      <c r="C81" s="115"/>
      <c r="D81" s="104"/>
      <c r="J81" s="100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2:47" s="27" customFormat="1" ht="12.75">
      <c r="B82" s="115"/>
      <c r="C82" s="115"/>
      <c r="D82" s="104"/>
      <c r="J82" s="100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2:47" s="27" customFormat="1" ht="12.75">
      <c r="B83" s="115"/>
      <c r="C83" s="115"/>
      <c r="D83" s="104"/>
      <c r="J83" s="100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</row>
    <row r="84" spans="2:47" s="27" customFormat="1" ht="12.75">
      <c r="B84" s="115"/>
      <c r="C84" s="115"/>
      <c r="D84" s="104"/>
      <c r="J84" s="100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s="27" customFormat="1" ht="12.75">
      <c r="B85" s="115"/>
      <c r="C85" s="115"/>
      <c r="D85" s="104"/>
      <c r="J85" s="100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s="27" customFormat="1" ht="12.75">
      <c r="B86" s="115"/>
      <c r="C86" s="115"/>
      <c r="D86" s="104"/>
      <c r="J86" s="100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</sheetData>
  <mergeCells count="12">
    <mergeCell ref="H59:I59"/>
    <mergeCell ref="H60:I60"/>
    <mergeCell ref="A1:M1"/>
    <mergeCell ref="A2:M2"/>
    <mergeCell ref="E6:G6"/>
    <mergeCell ref="H6:J6"/>
    <mergeCell ref="K6:M6"/>
    <mergeCell ref="E43:G43"/>
    <mergeCell ref="H43:J43"/>
    <mergeCell ref="K43:M43"/>
    <mergeCell ref="A41:M41"/>
    <mergeCell ref="A4:M4"/>
  </mergeCells>
  <pageMargins left="0.7" right="0.7" top="0.5" bottom="0.5" header="0.3" footer="0.3"/>
  <pageSetup paperSize="10000" scale="56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36" sqref="C36"/>
    </sheetView>
  </sheetViews>
  <sheetFormatPr defaultRowHeight="15"/>
  <cols>
    <col min="1" max="1" width="7.42578125" customWidth="1"/>
    <col min="5" max="6" width="19.140625" customWidth="1"/>
    <col min="7" max="7" width="19.140625" bestFit="1" customWidth="1"/>
  </cols>
  <sheetData>
    <row r="1" spans="1:7" ht="15.75">
      <c r="A1" s="309" t="s">
        <v>77</v>
      </c>
      <c r="B1" s="309"/>
      <c r="C1" s="309"/>
      <c r="D1" s="309"/>
      <c r="E1" s="309"/>
      <c r="F1" s="309"/>
      <c r="G1" s="309"/>
    </row>
    <row r="3" spans="1:7">
      <c r="A3" s="139" t="s">
        <v>69</v>
      </c>
      <c r="B3" s="139"/>
      <c r="C3" s="139"/>
      <c r="D3" s="138" t="s">
        <v>74</v>
      </c>
      <c r="E3" s="138" t="s">
        <v>72</v>
      </c>
      <c r="F3" s="138" t="s">
        <v>73</v>
      </c>
      <c r="G3" s="138" t="s">
        <v>76</v>
      </c>
    </row>
    <row r="4" spans="1:7">
      <c r="B4" t="s">
        <v>71</v>
      </c>
      <c r="D4" s="137">
        <v>444</v>
      </c>
      <c r="E4" s="140">
        <v>78950751</v>
      </c>
      <c r="F4" s="140">
        <f>'mar (2)'!H38</f>
        <v>55803961.129999995</v>
      </c>
      <c r="G4" s="142">
        <f>F4-E4</f>
        <v>-23146789.870000005</v>
      </c>
    </row>
    <row r="5" spans="1:7">
      <c r="B5" t="s">
        <v>70</v>
      </c>
      <c r="D5" s="137">
        <v>975</v>
      </c>
      <c r="E5" s="141">
        <v>26843385</v>
      </c>
      <c r="F5" s="141">
        <f>'mar (2)'!I38</f>
        <v>22390418.196838245</v>
      </c>
      <c r="G5" s="143">
        <f>F5-E5</f>
        <v>-4452966.8031617552</v>
      </c>
    </row>
    <row r="6" spans="1:7">
      <c r="C6" s="308" t="s">
        <v>75</v>
      </c>
      <c r="D6" s="308"/>
      <c r="E6" s="142">
        <f>E4+E5</f>
        <v>105794136</v>
      </c>
      <c r="F6" s="142">
        <f>F4+F5</f>
        <v>78194379.32683824</v>
      </c>
      <c r="G6" s="142">
        <f>G4+G5</f>
        <v>-27599756.67316176</v>
      </c>
    </row>
  </sheetData>
  <mergeCells count="2">
    <mergeCell ref="C6:D6"/>
    <mergeCell ref="A1:G1"/>
  </mergeCells>
  <pageMargins left="0.7" right="0.7" top="0.75" bottom="0.75" header="0.3" footer="0.3"/>
  <pageSetup paperSize="10000" scale="1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5"/>
  <sheetViews>
    <sheetView topLeftCell="E1" workbookViewId="0">
      <selection activeCell="M17" sqref="M17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63.7109375" style="3" bestFit="1" customWidth="1"/>
    <col min="4" max="4" width="15" style="4" bestFit="1" customWidth="1"/>
    <col min="5" max="7" width="15" style="2" bestFit="1" customWidth="1"/>
    <col min="8" max="8" width="16.140625" style="2" bestFit="1" customWidth="1"/>
    <col min="9" max="9" width="12.28515625" style="2" customWidth="1"/>
    <col min="10" max="10" width="11.85546875" style="5" customWidth="1"/>
    <col min="11" max="11" width="15" style="2" bestFit="1" customWidth="1"/>
    <col min="12" max="12" width="14" style="2" bestFit="1" customWidth="1"/>
    <col min="13" max="13" width="15" style="1" bestFit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53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287" t="s">
        <v>50</v>
      </c>
      <c r="F5" s="288"/>
      <c r="G5" s="289"/>
      <c r="H5" s="287" t="s">
        <v>51</v>
      </c>
      <c r="I5" s="288"/>
      <c r="J5" s="289"/>
      <c r="K5" s="287" t="s">
        <v>8</v>
      </c>
      <c r="L5" s="288"/>
      <c r="M5" s="290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v>42000000</v>
      </c>
      <c r="F7" s="22">
        <v>38232874.970000006</v>
      </c>
      <c r="G7" s="21">
        <f>SUM(E7:F7)</f>
        <v>80232874.969999999</v>
      </c>
      <c r="H7" s="21">
        <v>0</v>
      </c>
      <c r="I7" s="21">
        <v>0</v>
      </c>
      <c r="J7" s="23">
        <v>0</v>
      </c>
      <c r="K7" s="21">
        <v>120000000</v>
      </c>
      <c r="L7" s="24">
        <v>31408520.539999999</v>
      </c>
      <c r="M7" s="25">
        <f>SUM(K7:L7)</f>
        <v>151408520.53999999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52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18</v>
      </c>
      <c r="D10" s="37">
        <f>SUM(D7:D9)</f>
        <v>162000000</v>
      </c>
      <c r="E10" s="37">
        <f t="shared" ref="E10:K10" si="0">SUM(E7:E9)</f>
        <v>42000000</v>
      </c>
      <c r="F10" s="37">
        <f>SUM(F7:F9)</f>
        <v>38232874.970000006</v>
      </c>
      <c r="G10" s="37">
        <f t="shared" si="0"/>
        <v>80232874.969999999</v>
      </c>
      <c r="H10" s="37">
        <f t="shared" si="0"/>
        <v>0</v>
      </c>
      <c r="I10" s="37">
        <f t="shared" si="0"/>
        <v>0</v>
      </c>
      <c r="J10" s="38">
        <f t="shared" si="0"/>
        <v>0</v>
      </c>
      <c r="K10" s="37">
        <f t="shared" si="0"/>
        <v>120000000</v>
      </c>
      <c r="L10" s="37">
        <f>SUM(L7:L9)</f>
        <v>31408520.539999999</v>
      </c>
      <c r="M10" s="39">
        <f>SUM(K10:L10)</f>
        <v>151408520.53999999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v>191666666.70000002</v>
      </c>
      <c r="F12" s="44">
        <v>53168619.949999996</v>
      </c>
      <c r="G12" s="21">
        <f>SUM(E12:F12)</f>
        <v>244835286.65000001</v>
      </c>
      <c r="H12" s="21">
        <v>0</v>
      </c>
      <c r="I12" s="21">
        <v>0</v>
      </c>
      <c r="J12" s="23">
        <v>0</v>
      </c>
      <c r="K12" s="45">
        <v>8333333.2999999821</v>
      </c>
      <c r="L12" s="21">
        <v>1008680.5699999996</v>
      </c>
      <c r="M12" s="46">
        <f>SUM(K12:L12)</f>
        <v>9342013.8699999824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v>198000000</v>
      </c>
      <c r="F16" s="45">
        <v>67555148</v>
      </c>
      <c r="G16" s="45">
        <f>SUM(E16:F16)</f>
        <v>265555148</v>
      </c>
      <c r="H16" s="45">
        <v>0</v>
      </c>
      <c r="I16" s="45">
        <v>0</v>
      </c>
      <c r="J16" s="45">
        <v>0</v>
      </c>
      <c r="K16" s="45">
        <v>66000000</v>
      </c>
      <c r="L16" s="45"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20"/>
      <c r="D20" s="21"/>
      <c r="E20" s="21"/>
      <c r="F20" s="21"/>
      <c r="G20" s="21"/>
      <c r="H20" s="45"/>
      <c r="I20" s="58"/>
      <c r="J20" s="68"/>
      <c r="K20" s="21"/>
      <c r="L20" s="58"/>
      <c r="M20" s="6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33</v>
      </c>
      <c r="B21" s="55"/>
      <c r="C21" s="20" t="s">
        <v>34</v>
      </c>
      <c r="D21" s="21"/>
      <c r="E21" s="43"/>
      <c r="F21" s="44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19" t="s">
        <v>37</v>
      </c>
      <c r="C22" s="48" t="s">
        <v>30</v>
      </c>
      <c r="D22" s="21">
        <v>8392000</v>
      </c>
      <c r="E22" s="21">
        <v>4545666.71</v>
      </c>
      <c r="F22" s="21">
        <v>1929744.31</v>
      </c>
      <c r="G22" s="21">
        <f>SUM(E22:F22)</f>
        <v>6475411.0199999996</v>
      </c>
      <c r="H22" s="21">
        <v>0</v>
      </c>
      <c r="I22" s="21">
        <v>0</v>
      </c>
      <c r="J22" s="54">
        <v>0</v>
      </c>
      <c r="K22" s="21">
        <v>3846333.29</v>
      </c>
      <c r="L22" s="21">
        <v>520206.86</v>
      </c>
      <c r="M22" s="56">
        <f t="shared" ref="M22" si="1">SUM(K22:L22)</f>
        <v>4366540.1500000004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/>
      <c r="C23" s="48"/>
      <c r="D23" s="21"/>
      <c r="E23" s="21"/>
      <c r="F23" s="21"/>
      <c r="G23" s="21"/>
      <c r="H23" s="21"/>
      <c r="I23" s="21"/>
      <c r="J23" s="23"/>
      <c r="K23" s="21"/>
      <c r="L23" s="21"/>
      <c r="M23" s="5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70" t="s">
        <v>38</v>
      </c>
      <c r="B24" s="71"/>
      <c r="C24" s="72" t="s">
        <v>26</v>
      </c>
      <c r="D24" s="73"/>
      <c r="E24" s="74"/>
      <c r="F24" s="74"/>
      <c r="G24" s="74"/>
      <c r="H24" s="74"/>
      <c r="I24" s="74"/>
      <c r="J24" s="75"/>
      <c r="K24" s="74"/>
      <c r="L24" s="74"/>
      <c r="M24" s="7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7" t="s">
        <v>39</v>
      </c>
      <c r="B25" s="78"/>
      <c r="C25" s="48" t="s">
        <v>40</v>
      </c>
      <c r="D25" s="79">
        <v>115500000</v>
      </c>
      <c r="E25" s="80">
        <v>0</v>
      </c>
      <c r="F25" s="21">
        <v>11496744.390000001</v>
      </c>
      <c r="G25" s="21">
        <f>SUM(E25:F25)</f>
        <v>11496744.390000001</v>
      </c>
      <c r="H25" s="21">
        <v>0</v>
      </c>
      <c r="I25" s="21">
        <v>0</v>
      </c>
      <c r="J25" s="23">
        <v>0</v>
      </c>
      <c r="K25" s="21">
        <v>115500000</v>
      </c>
      <c r="L25" s="21">
        <v>35176183.979999997</v>
      </c>
      <c r="M25" s="56">
        <f>SUM(K25:L25)</f>
        <v>150676183.97999999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53"/>
      <c r="B26" s="81" t="s">
        <v>41</v>
      </c>
      <c r="C26" s="48" t="s">
        <v>24</v>
      </c>
      <c r="D26" s="79"/>
      <c r="E26" s="80"/>
      <c r="F26" s="80"/>
      <c r="G26" s="21"/>
      <c r="H26" s="21"/>
      <c r="I26" s="21"/>
      <c r="J26" s="23"/>
      <c r="K26" s="21"/>
      <c r="L26" s="21"/>
      <c r="M26" s="5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59"/>
      <c r="B27" s="82"/>
      <c r="C27" s="33"/>
      <c r="D27" s="83"/>
      <c r="E27" s="34"/>
      <c r="F27" s="34"/>
      <c r="G27" s="34"/>
      <c r="H27" s="34"/>
      <c r="I27" s="34"/>
      <c r="J27" s="35"/>
      <c r="K27" s="34"/>
      <c r="L27" s="34"/>
      <c r="M27" s="8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3.5" thickBot="1">
      <c r="A28" s="85" t="s">
        <v>42</v>
      </c>
      <c r="B28" s="86"/>
      <c r="C28" s="87"/>
      <c r="D28" s="88">
        <f>D12+D16+D22+D25</f>
        <v>587892000</v>
      </c>
      <c r="E28" s="88">
        <f t="shared" ref="E28:M28" si="2">E12+E16+E22+E25</f>
        <v>394212333.41000003</v>
      </c>
      <c r="F28" s="88">
        <f t="shared" si="2"/>
        <v>134150256.64999999</v>
      </c>
      <c r="G28" s="88">
        <f t="shared" si="2"/>
        <v>528362590.05999994</v>
      </c>
      <c r="H28" s="88">
        <f t="shared" si="2"/>
        <v>0</v>
      </c>
      <c r="I28" s="88">
        <f t="shared" si="2"/>
        <v>0</v>
      </c>
      <c r="J28" s="89">
        <f t="shared" si="2"/>
        <v>0</v>
      </c>
      <c r="K28" s="88">
        <f t="shared" si="2"/>
        <v>193679666.58999997</v>
      </c>
      <c r="L28" s="88">
        <f t="shared" si="2"/>
        <v>40632922.079999998</v>
      </c>
      <c r="M28" s="90">
        <f t="shared" si="2"/>
        <v>234312588.66999999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18"/>
      <c r="B29" s="86"/>
      <c r="C29" s="91"/>
      <c r="D29" s="88"/>
      <c r="E29" s="88"/>
      <c r="F29" s="88"/>
      <c r="G29" s="88"/>
      <c r="H29" s="88"/>
      <c r="I29" s="88"/>
      <c r="J29" s="89"/>
      <c r="K29" s="88"/>
      <c r="L29" s="88"/>
      <c r="M29" s="9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93" t="s">
        <v>43</v>
      </c>
      <c r="B30" s="94"/>
      <c r="C30" s="95"/>
      <c r="D30" s="96">
        <f t="shared" ref="D30:M30" si="3">D10+D28</f>
        <v>749892000</v>
      </c>
      <c r="E30" s="96">
        <f t="shared" si="3"/>
        <v>436212333.41000003</v>
      </c>
      <c r="F30" s="96">
        <f t="shared" si="3"/>
        <v>172383131.62</v>
      </c>
      <c r="G30" s="96">
        <f t="shared" si="3"/>
        <v>608595465.02999997</v>
      </c>
      <c r="H30" s="96">
        <f t="shared" si="3"/>
        <v>0</v>
      </c>
      <c r="I30" s="96">
        <f t="shared" si="3"/>
        <v>0</v>
      </c>
      <c r="J30" s="96">
        <f t="shared" si="3"/>
        <v>0</v>
      </c>
      <c r="K30" s="96">
        <f t="shared" si="3"/>
        <v>313679666.58999997</v>
      </c>
      <c r="L30" s="96">
        <f t="shared" si="3"/>
        <v>72041442.620000005</v>
      </c>
      <c r="M30" s="96">
        <f t="shared" si="3"/>
        <v>385721109.20999998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97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97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B34" s="109"/>
      <c r="C34" s="109"/>
      <c r="J34" s="10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B35" s="109"/>
      <c r="C35" s="101" t="s">
        <v>44</v>
      </c>
      <c r="D35" s="109"/>
      <c r="H35" s="102" t="s">
        <v>45</v>
      </c>
      <c r="J35" s="100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09"/>
      <c r="C36" s="103"/>
      <c r="D36" s="109"/>
      <c r="H36" s="102"/>
      <c r="J36" s="100"/>
      <c r="K36" s="10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09"/>
      <c r="C37" s="103"/>
      <c r="D37" s="109"/>
      <c r="H37" s="102"/>
      <c r="J37" s="100"/>
      <c r="K37" s="10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09"/>
      <c r="C38" s="107" t="s">
        <v>49</v>
      </c>
      <c r="D38" s="107"/>
      <c r="E38" s="107"/>
      <c r="H38" s="284" t="s">
        <v>46</v>
      </c>
      <c r="I38" s="284"/>
      <c r="J38" s="108"/>
      <c r="K38" s="105"/>
      <c r="L38" s="10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09"/>
      <c r="C39" s="109" t="s">
        <v>47</v>
      </c>
      <c r="D39" s="109"/>
      <c r="E39" s="109"/>
      <c r="H39" s="285" t="s">
        <v>48</v>
      </c>
      <c r="I39" s="285"/>
      <c r="J39" s="100"/>
      <c r="L39" s="10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109"/>
      <c r="B40" s="109"/>
      <c r="C40" s="109"/>
      <c r="J40" s="10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09"/>
      <c r="C41" s="109"/>
      <c r="D41" s="104"/>
      <c r="J41" s="100"/>
      <c r="K41" s="10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B42" s="109"/>
      <c r="C42" s="109"/>
      <c r="D42" s="104"/>
      <c r="J42" s="100"/>
      <c r="K42" s="10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09"/>
      <c r="C43" s="109"/>
      <c r="D43" s="104"/>
      <c r="J43" s="100"/>
      <c r="K43" s="10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09"/>
      <c r="C44" s="109"/>
      <c r="D44" s="104"/>
      <c r="J44" s="100"/>
      <c r="K44" s="10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09"/>
      <c r="C45" s="109"/>
      <c r="D45" s="104"/>
      <c r="E45" s="104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09"/>
      <c r="C46" s="109"/>
      <c r="D46" s="104"/>
      <c r="J46" s="10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09"/>
      <c r="C47" s="109"/>
      <c r="D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09"/>
      <c r="C48" s="109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09"/>
      <c r="C49" s="109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09"/>
      <c r="C50" s="109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09"/>
      <c r="C51" s="109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09"/>
      <c r="C52" s="109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09"/>
      <c r="C53" s="109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09"/>
      <c r="C54" s="109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09"/>
      <c r="C55" s="109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09"/>
      <c r="C56" s="109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09"/>
      <c r="C57" s="109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09"/>
      <c r="C58" s="109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09"/>
      <c r="C59" s="109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09"/>
      <c r="C60" s="109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09"/>
      <c r="C61" s="109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09"/>
      <c r="C62" s="109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09"/>
      <c r="C63" s="109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09"/>
      <c r="C64" s="109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09"/>
      <c r="C65" s="109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</sheetData>
  <mergeCells count="8">
    <mergeCell ref="H38:I38"/>
    <mergeCell ref="H39:I39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5"/>
  <sheetViews>
    <sheetView topLeftCell="A4" workbookViewId="0">
      <selection activeCell="M17" sqref="M17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59.42578125" style="3" customWidth="1"/>
    <col min="4" max="4" width="15" style="4" bestFit="1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54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287" t="s">
        <v>55</v>
      </c>
      <c r="F5" s="288"/>
      <c r="G5" s="289"/>
      <c r="H5" s="287" t="s">
        <v>51</v>
      </c>
      <c r="I5" s="288"/>
      <c r="J5" s="289"/>
      <c r="K5" s="287" t="s">
        <v>8</v>
      </c>
      <c r="L5" s="288"/>
      <c r="M5" s="290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f>'[1]PNB 162M'!$G$63</f>
        <v>60000000</v>
      </c>
      <c r="F7" s="22">
        <f>'[1]PNB 162M'!$F$63</f>
        <v>46575739.744246565</v>
      </c>
      <c r="G7" s="21">
        <f>SUM(E7:F7)</f>
        <v>106575739.74424657</v>
      </c>
      <c r="H7" s="21">
        <f>'[2]NEW 162M'!$G$62</f>
        <v>18000000</v>
      </c>
      <c r="I7" s="21">
        <f>'[2]NEW 162M'!$H$62</f>
        <v>8659828.7671232875</v>
      </c>
      <c r="J7" s="23">
        <f>H7+I7</f>
        <v>26659828.767123289</v>
      </c>
      <c r="K7" s="21">
        <f>D7-E7</f>
        <v>102000000</v>
      </c>
      <c r="L7" s="24">
        <f>[1]INTEREST!$D$16</f>
        <v>23065335.598219194</v>
      </c>
      <c r="M7" s="25">
        <f>SUM(K7:L7)</f>
        <v>125065335.59821919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52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56</v>
      </c>
      <c r="D10" s="37">
        <f>SUM(D7:D9)</f>
        <v>162000000</v>
      </c>
      <c r="E10" s="37">
        <f t="shared" ref="E10:K10" si="0">SUM(E7:E9)</f>
        <v>60000000</v>
      </c>
      <c r="F10" s="37">
        <f>SUM(F7:F9)</f>
        <v>46575739.744246565</v>
      </c>
      <c r="G10" s="37">
        <f t="shared" si="0"/>
        <v>106575739.74424657</v>
      </c>
      <c r="H10" s="37">
        <f t="shared" si="0"/>
        <v>18000000</v>
      </c>
      <c r="I10" s="37">
        <f t="shared" si="0"/>
        <v>8659828.7671232875</v>
      </c>
      <c r="J10" s="38">
        <f t="shared" si="0"/>
        <v>26659828.767123289</v>
      </c>
      <c r="K10" s="37">
        <f t="shared" si="0"/>
        <v>102000000</v>
      </c>
      <c r="L10" s="37">
        <f>SUM(L7:L9)</f>
        <v>23065335.598219194</v>
      </c>
      <c r="M10" s="39">
        <f>SUM(K10:L10)</f>
        <v>125065335.59821919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f>'[1]NEW CITY HALL (200M)'!$G$108</f>
        <v>199999999.98999998</v>
      </c>
      <c r="F12" s="44">
        <f>'[1]NEW CITY HALL (200M)'!$F$108</f>
        <v>53316189.390000001</v>
      </c>
      <c r="G12" s="21">
        <f>SUM(E12:F12)</f>
        <v>253316189.38</v>
      </c>
      <c r="H12" s="21">
        <v>0</v>
      </c>
      <c r="I12" s="21">
        <v>0</v>
      </c>
      <c r="J12" s="23">
        <v>0</v>
      </c>
      <c r="K12" s="45">
        <f>D12-E12</f>
        <v>1.0000020265579224E-2</v>
      </c>
      <c r="L12" s="21">
        <v>0</v>
      </c>
      <c r="M12" s="46">
        <f>SUM(K12:L12)</f>
        <v>1.0000020265579224E-2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f>'[1]CONSOL NEW CITY HALL (264)'!$F$213</f>
        <v>242000000</v>
      </c>
      <c r="F16" s="45">
        <v>67555148</v>
      </c>
      <c r="G16" s="45">
        <f>SUM(E16:F16)</f>
        <v>309555148</v>
      </c>
      <c r="H16" s="45">
        <v>0</v>
      </c>
      <c r="I16" s="45">
        <v>0</v>
      </c>
      <c r="J16" s="45">
        <v>0</v>
      </c>
      <c r="K16" s="45">
        <v>66000000</v>
      </c>
      <c r="L16" s="45"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20"/>
      <c r="D20" s="21"/>
      <c r="E20" s="21"/>
      <c r="F20" s="21"/>
      <c r="G20" s="21"/>
      <c r="H20" s="45"/>
      <c r="I20" s="58"/>
      <c r="J20" s="68"/>
      <c r="K20" s="21"/>
      <c r="L20" s="58"/>
      <c r="M20" s="6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33</v>
      </c>
      <c r="B21" s="55"/>
      <c r="C21" s="20" t="s">
        <v>34</v>
      </c>
      <c r="D21" s="21"/>
      <c r="E21" s="43"/>
      <c r="F21" s="44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19" t="s">
        <v>37</v>
      </c>
      <c r="C22" s="48" t="s">
        <v>30</v>
      </c>
      <c r="D22" s="21">
        <v>8392000</v>
      </c>
      <c r="E22" s="21">
        <f>'[1]LAND (8.3M)'!$F$53</f>
        <v>349666.67</v>
      </c>
      <c r="F22" s="21">
        <f>'[1]LAND (8.3M)'!$E$53</f>
        <v>77896.990000000005</v>
      </c>
      <c r="G22" s="21">
        <f>SUM(E22:F22)</f>
        <v>427563.66</v>
      </c>
      <c r="H22" s="21">
        <f>'[3]8.3M'!$G$31</f>
        <v>1398666.68</v>
      </c>
      <c r="I22" s="21">
        <f>'[3]8.3M'!$H$31</f>
        <v>259221.49437372229</v>
      </c>
      <c r="J22" s="54">
        <f>H22+I22</f>
        <v>1657888.1743737222</v>
      </c>
      <c r="K22" s="21">
        <f>D22-E22</f>
        <v>8042333.3300000001</v>
      </c>
      <c r="L22" s="21">
        <f>[1]INTEREST!$D$9</f>
        <v>509558.50757605629</v>
      </c>
      <c r="M22" s="56">
        <f t="shared" ref="M22" si="1">SUM(K22:L22)</f>
        <v>8551891.8375760559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/>
      <c r="C23" s="48"/>
      <c r="D23" s="21"/>
      <c r="E23" s="21"/>
      <c r="F23" s="21"/>
      <c r="G23" s="21"/>
      <c r="H23" s="21"/>
      <c r="I23" s="21"/>
      <c r="J23" s="23"/>
      <c r="K23" s="21"/>
      <c r="L23" s="21"/>
      <c r="M23" s="5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70" t="s">
        <v>38</v>
      </c>
      <c r="B24" s="71"/>
      <c r="C24" s="72" t="s">
        <v>26</v>
      </c>
      <c r="D24" s="73"/>
      <c r="E24" s="74"/>
      <c r="F24" s="74"/>
      <c r="G24" s="74"/>
      <c r="H24" s="74"/>
      <c r="I24" s="74"/>
      <c r="J24" s="75"/>
      <c r="K24" s="74"/>
      <c r="L24" s="74"/>
      <c r="M24" s="7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7" t="s">
        <v>39</v>
      </c>
      <c r="B25" s="78"/>
      <c r="C25" s="48" t="s">
        <v>40</v>
      </c>
      <c r="D25" s="79">
        <v>115500000</v>
      </c>
      <c r="E25" s="80">
        <v>0</v>
      </c>
      <c r="F25" s="21">
        <f>'[1]NEW CITY HALL (231M)'!$F$19</f>
        <v>18560562.810000002</v>
      </c>
      <c r="G25" s="21">
        <f>SUM(E25:F25)</f>
        <v>18560562.810000002</v>
      </c>
      <c r="H25" s="21">
        <f>'[4]231M'!$G$20</f>
        <v>7218750</v>
      </c>
      <c r="I25" s="21">
        <f>'[4]231M'!$H$20</f>
        <v>7551815.104166667</v>
      </c>
      <c r="J25" s="23">
        <f>H25+I25</f>
        <v>14770565.104166668</v>
      </c>
      <c r="K25" s="21">
        <f>D25-E25</f>
        <v>115500000</v>
      </c>
      <c r="L25" s="21">
        <f>[1]INTEREST!$D$6</f>
        <v>28084994.481666669</v>
      </c>
      <c r="M25" s="56">
        <f>SUM(K25:L25)</f>
        <v>143584994.48166668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53"/>
      <c r="B26" s="81" t="s">
        <v>41</v>
      </c>
      <c r="C26" s="48" t="s">
        <v>24</v>
      </c>
      <c r="D26" s="79"/>
      <c r="E26" s="80"/>
      <c r="F26" s="80"/>
      <c r="G26" s="21"/>
      <c r="H26" s="21"/>
      <c r="I26" s="21"/>
      <c r="J26" s="23"/>
      <c r="K26" s="21"/>
      <c r="L26" s="21"/>
      <c r="M26" s="5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59"/>
      <c r="B27" s="82"/>
      <c r="C27" s="33"/>
      <c r="D27" s="83"/>
      <c r="E27" s="34"/>
      <c r="F27" s="34"/>
      <c r="G27" s="34"/>
      <c r="H27" s="34"/>
      <c r="I27" s="34"/>
      <c r="J27" s="35"/>
      <c r="K27" s="34"/>
      <c r="L27" s="34"/>
      <c r="M27" s="8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85"/>
      <c r="B28" s="86"/>
      <c r="C28" s="91" t="s">
        <v>56</v>
      </c>
      <c r="D28" s="88">
        <f>D12+D16+D22+D25</f>
        <v>587892000</v>
      </c>
      <c r="E28" s="88">
        <f t="shared" ref="E28:G28" si="2">E12+E16+E22+E25</f>
        <v>442349666.66000003</v>
      </c>
      <c r="F28" s="88">
        <f t="shared" si="2"/>
        <v>139509797.19</v>
      </c>
      <c r="G28" s="88">
        <f t="shared" si="2"/>
        <v>581859463.8499999</v>
      </c>
      <c r="H28" s="88">
        <f t="shared" ref="H28:M28" si="3">H12+H16+H22+H25</f>
        <v>8617416.6799999997</v>
      </c>
      <c r="I28" s="88">
        <f t="shared" si="3"/>
        <v>7811036.598540389</v>
      </c>
      <c r="J28" s="89">
        <f t="shared" si="3"/>
        <v>16428453.27854039</v>
      </c>
      <c r="K28" s="88">
        <f t="shared" si="3"/>
        <v>189542333.34000003</v>
      </c>
      <c r="L28" s="88">
        <f t="shared" si="3"/>
        <v>32522403.659242727</v>
      </c>
      <c r="M28" s="113">
        <f t="shared" si="3"/>
        <v>222064736.99924278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18"/>
      <c r="B29" s="86"/>
      <c r="C29" s="91"/>
      <c r="D29" s="88"/>
      <c r="E29" s="88"/>
      <c r="F29" s="88"/>
      <c r="G29" s="88"/>
      <c r="H29" s="88"/>
      <c r="I29" s="88"/>
      <c r="J29" s="89"/>
      <c r="K29" s="88"/>
      <c r="L29" s="88"/>
      <c r="M29" s="11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93"/>
      <c r="B30" s="94"/>
      <c r="C30" s="95" t="s">
        <v>43</v>
      </c>
      <c r="D30" s="96">
        <f t="shared" ref="D30:M30" si="4">D10+D28</f>
        <v>749892000</v>
      </c>
      <c r="E30" s="96">
        <f t="shared" si="4"/>
        <v>502349666.66000003</v>
      </c>
      <c r="F30" s="96">
        <f t="shared" si="4"/>
        <v>186085536.93424657</v>
      </c>
      <c r="G30" s="96">
        <f t="shared" si="4"/>
        <v>688435203.59424651</v>
      </c>
      <c r="H30" s="96">
        <f t="shared" si="4"/>
        <v>26617416.68</v>
      </c>
      <c r="I30" s="96">
        <f t="shared" si="4"/>
        <v>16470865.365663677</v>
      </c>
      <c r="J30" s="96">
        <f t="shared" si="4"/>
        <v>43088282.045663677</v>
      </c>
      <c r="K30" s="96">
        <f t="shared" si="4"/>
        <v>291542333.34000003</v>
      </c>
      <c r="L30" s="96">
        <f t="shared" si="4"/>
        <v>55587739.25746192</v>
      </c>
      <c r="M30" s="96">
        <f t="shared" si="4"/>
        <v>347130072.59746194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97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97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B34" s="111"/>
      <c r="C34" s="111"/>
      <c r="J34" s="10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B35" s="111"/>
      <c r="C35" s="101" t="s">
        <v>44</v>
      </c>
      <c r="D35" s="111"/>
      <c r="H35" s="102" t="s">
        <v>45</v>
      </c>
      <c r="J35" s="100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11"/>
      <c r="C36" s="103"/>
      <c r="D36" s="111"/>
      <c r="H36" s="102"/>
      <c r="J36" s="100"/>
      <c r="K36" s="10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11"/>
      <c r="C37" s="103"/>
      <c r="D37" s="111"/>
      <c r="H37" s="102"/>
      <c r="J37" s="100"/>
      <c r="K37" s="105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11"/>
      <c r="C38" s="110" t="s">
        <v>49</v>
      </c>
      <c r="D38" s="110"/>
      <c r="E38" s="110"/>
      <c r="H38" s="284" t="s">
        <v>46</v>
      </c>
      <c r="I38" s="284"/>
      <c r="J38" s="108"/>
      <c r="K38" s="105"/>
      <c r="L38" s="110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11"/>
      <c r="C39" s="111" t="s">
        <v>47</v>
      </c>
      <c r="D39" s="111"/>
      <c r="E39" s="111"/>
      <c r="H39" s="285" t="s">
        <v>48</v>
      </c>
      <c r="I39" s="285"/>
      <c r="J39" s="100"/>
      <c r="L39" s="11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111"/>
      <c r="B40" s="111"/>
      <c r="C40" s="111"/>
      <c r="J40" s="100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11"/>
      <c r="C41" s="111"/>
      <c r="D41" s="104"/>
      <c r="J41" s="100"/>
      <c r="K41" s="10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B42" s="111"/>
      <c r="C42" s="111"/>
      <c r="D42" s="104"/>
      <c r="J42" s="100"/>
      <c r="K42" s="10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11"/>
      <c r="C43" s="111"/>
      <c r="D43" s="104"/>
      <c r="J43" s="100"/>
      <c r="K43" s="10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11"/>
      <c r="C44" s="111"/>
      <c r="D44" s="104"/>
      <c r="J44" s="100"/>
      <c r="K44" s="105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11"/>
      <c r="C45" s="111"/>
      <c r="D45" s="104"/>
      <c r="E45" s="104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11"/>
      <c r="C46" s="111"/>
      <c r="D46" s="104"/>
      <c r="J46" s="10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11"/>
      <c r="C47" s="111"/>
      <c r="D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11"/>
      <c r="C48" s="111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11"/>
      <c r="C49" s="111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11"/>
      <c r="C50" s="111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11"/>
      <c r="C51" s="111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11"/>
      <c r="C52" s="111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11"/>
      <c r="C53" s="111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11"/>
      <c r="C54" s="111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11"/>
      <c r="C55" s="111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11"/>
      <c r="C56" s="111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11"/>
      <c r="C57" s="111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11"/>
      <c r="C58" s="111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11"/>
      <c r="C59" s="111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11"/>
      <c r="C60" s="111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11"/>
      <c r="C61" s="111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11"/>
      <c r="C62" s="111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11"/>
      <c r="C63" s="111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11"/>
      <c r="C64" s="111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11"/>
      <c r="C65" s="111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</sheetData>
  <mergeCells count="8">
    <mergeCell ref="H38:I38"/>
    <mergeCell ref="H39:I39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76"/>
  <sheetViews>
    <sheetView topLeftCell="A19" workbookViewId="0">
      <selection activeCell="M17" sqref="M17"/>
    </sheetView>
  </sheetViews>
  <sheetFormatPr defaultRowHeight="12"/>
  <cols>
    <col min="1" max="1" width="41.140625" style="2" bestFit="1" customWidth="1"/>
    <col min="2" max="2" width="17.42578125" style="3" bestFit="1" customWidth="1"/>
    <col min="3" max="3" width="63.7109375" style="3" bestFit="1" customWidth="1"/>
    <col min="4" max="4" width="15" style="4" bestFit="1" customWidth="1"/>
    <col min="5" max="7" width="15" style="2" bestFit="1" customWidth="1"/>
    <col min="8" max="8" width="16.140625" style="2" bestFit="1" customWidth="1"/>
    <col min="9" max="9" width="14" style="2" bestFit="1" customWidth="1"/>
    <col min="10" max="10" width="14" style="5" bestFit="1" customWidth="1"/>
    <col min="11" max="11" width="15" style="2" bestFit="1" customWidth="1"/>
    <col min="12" max="12" width="14" style="2" bestFit="1" customWidth="1"/>
    <col min="13" max="13" width="15" style="1" bestFit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54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2.75" thickBot="1"/>
    <row r="5" spans="1:47">
      <c r="A5" s="6" t="s">
        <v>3</v>
      </c>
      <c r="B5" s="7" t="s">
        <v>4</v>
      </c>
      <c r="C5" s="7" t="s">
        <v>5</v>
      </c>
      <c r="D5" s="8" t="s">
        <v>6</v>
      </c>
      <c r="E5" s="287" t="s">
        <v>55</v>
      </c>
      <c r="F5" s="288"/>
      <c r="G5" s="289"/>
      <c r="H5" s="287" t="s">
        <v>51</v>
      </c>
      <c r="I5" s="288"/>
      <c r="J5" s="289"/>
      <c r="K5" s="287" t="s">
        <v>8</v>
      </c>
      <c r="L5" s="288"/>
      <c r="M5" s="290"/>
    </row>
    <row r="6" spans="1:47" ht="12.75" thickBot="1">
      <c r="A6" s="9"/>
      <c r="B6" s="10"/>
      <c r="C6" s="10"/>
      <c r="D6" s="11" t="s">
        <v>9</v>
      </c>
      <c r="E6" s="12" t="s">
        <v>10</v>
      </c>
      <c r="F6" s="13" t="s">
        <v>11</v>
      </c>
      <c r="G6" s="14" t="s">
        <v>12</v>
      </c>
      <c r="H6" s="15" t="s">
        <v>10</v>
      </c>
      <c r="I6" s="10" t="s">
        <v>11</v>
      </c>
      <c r="J6" s="14" t="s">
        <v>12</v>
      </c>
      <c r="K6" s="13" t="s">
        <v>10</v>
      </c>
      <c r="L6" s="16" t="s">
        <v>11</v>
      </c>
      <c r="M6" s="17" t="s">
        <v>12</v>
      </c>
    </row>
    <row r="7" spans="1:47" s="27" customFormat="1" ht="12.75">
      <c r="A7" s="18" t="s">
        <v>13</v>
      </c>
      <c r="B7" s="19" t="s">
        <v>14</v>
      </c>
      <c r="C7" s="20" t="s">
        <v>15</v>
      </c>
      <c r="D7" s="21">
        <v>162000000</v>
      </c>
      <c r="E7" s="21">
        <f>'[1]PNB 162M'!$G$63</f>
        <v>60000000</v>
      </c>
      <c r="F7" s="22">
        <f>'[1]PNB 162M'!$F$63</f>
        <v>46575739.744246565</v>
      </c>
      <c r="G7" s="21">
        <f>SUM(E7:F7)</f>
        <v>106575739.74424657</v>
      </c>
      <c r="H7" s="21">
        <f>'[2]NEW 162M'!$G$62</f>
        <v>18000000</v>
      </c>
      <c r="I7" s="21">
        <f>'[2]NEW 162M'!$H$62</f>
        <v>8659828.7671232875</v>
      </c>
      <c r="J7" s="23">
        <f>H7+I7</f>
        <v>26659828.767123289</v>
      </c>
      <c r="K7" s="21">
        <f>D7-E7</f>
        <v>102000000</v>
      </c>
      <c r="L7" s="24">
        <f>[1]INTEREST!$D$16</f>
        <v>23065335.598219194</v>
      </c>
      <c r="M7" s="25">
        <f>SUM(K7:L7)</f>
        <v>125065335.59821919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s="27" customFormat="1" ht="12.75">
      <c r="A8" s="28"/>
      <c r="B8" s="19"/>
      <c r="C8" s="29" t="s">
        <v>52</v>
      </c>
      <c r="D8" s="21"/>
      <c r="E8" s="21"/>
      <c r="F8" s="22"/>
      <c r="G8" s="21"/>
      <c r="H8" s="21"/>
      <c r="I8" s="21"/>
      <c r="J8" s="23"/>
      <c r="K8" s="21"/>
      <c r="L8" s="30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31"/>
      <c r="B9" s="32"/>
      <c r="C9" s="33" t="s">
        <v>17</v>
      </c>
      <c r="D9" s="34"/>
      <c r="E9" s="34"/>
      <c r="F9" s="34"/>
      <c r="G9" s="34"/>
      <c r="H9" s="34"/>
      <c r="I9" s="34"/>
      <c r="J9" s="35"/>
      <c r="K9" s="34"/>
      <c r="L9" s="34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6" t="s">
        <v>56</v>
      </c>
      <c r="D10" s="37">
        <f>SUM(D7:D9)</f>
        <v>162000000</v>
      </c>
      <c r="E10" s="37">
        <f t="shared" ref="E10:K10" si="0">SUM(E7:E9)</f>
        <v>60000000</v>
      </c>
      <c r="F10" s="37">
        <f>SUM(F7:F9)</f>
        <v>46575739.744246565</v>
      </c>
      <c r="G10" s="37">
        <f t="shared" si="0"/>
        <v>106575739.74424657</v>
      </c>
      <c r="H10" s="37">
        <f t="shared" si="0"/>
        <v>18000000</v>
      </c>
      <c r="I10" s="37">
        <f t="shared" si="0"/>
        <v>8659828.7671232875</v>
      </c>
      <c r="J10" s="38">
        <f t="shared" si="0"/>
        <v>26659828.767123289</v>
      </c>
      <c r="K10" s="37">
        <f t="shared" si="0"/>
        <v>102000000</v>
      </c>
      <c r="L10" s="37">
        <f>SUM(L7:L9)</f>
        <v>23065335.598219194</v>
      </c>
      <c r="M10" s="39">
        <f>SUM(K10:L10)</f>
        <v>125065335.59821919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40" t="s">
        <v>19</v>
      </c>
      <c r="B11" s="19"/>
      <c r="C11" s="20"/>
      <c r="D11" s="21"/>
      <c r="E11" s="21"/>
      <c r="F11" s="21"/>
      <c r="G11" s="21"/>
      <c r="H11" s="21"/>
      <c r="I11" s="21"/>
      <c r="J11" s="23"/>
      <c r="K11" s="21"/>
      <c r="L11" s="21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2" t="s">
        <v>20</v>
      </c>
      <c r="B12" s="19" t="s">
        <v>21</v>
      </c>
      <c r="C12" s="20" t="s">
        <v>22</v>
      </c>
      <c r="D12" s="21">
        <v>200000000</v>
      </c>
      <c r="E12" s="43">
        <f>'[1]NEW CITY HALL (200M)'!$G$108</f>
        <v>199999999.98999998</v>
      </c>
      <c r="F12" s="44">
        <f>'[1]NEW CITY HALL (200M)'!$F$108</f>
        <v>53316189.390000001</v>
      </c>
      <c r="G12" s="21">
        <f>SUM(E12:F12)</f>
        <v>253316189.38</v>
      </c>
      <c r="H12" s="21">
        <v>0</v>
      </c>
      <c r="I12" s="21">
        <v>0</v>
      </c>
      <c r="J12" s="23">
        <v>0</v>
      </c>
      <c r="K12" s="45">
        <f>D12-E12</f>
        <v>1.0000020265579224E-2</v>
      </c>
      <c r="L12" s="21">
        <v>0</v>
      </c>
      <c r="M12" s="46">
        <f>SUM(K12:L12)</f>
        <v>1.0000020265579224E-2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7"/>
      <c r="B13" s="19"/>
      <c r="C13" s="48" t="s">
        <v>23</v>
      </c>
      <c r="D13" s="21"/>
      <c r="E13" s="21"/>
      <c r="F13" s="44"/>
      <c r="G13" s="21"/>
      <c r="H13" s="21"/>
      <c r="I13" s="21"/>
      <c r="J13" s="23"/>
      <c r="K13" s="21"/>
      <c r="L13" s="21"/>
      <c r="M13" s="4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9"/>
      <c r="B14" s="50"/>
      <c r="C14" s="33" t="s">
        <v>24</v>
      </c>
      <c r="D14" s="34"/>
      <c r="E14" s="34"/>
      <c r="F14" s="34"/>
      <c r="G14" s="34"/>
      <c r="H14" s="34"/>
      <c r="I14" s="34"/>
      <c r="J14" s="35"/>
      <c r="K14" s="34"/>
      <c r="L14" s="34"/>
      <c r="M14" s="51"/>
      <c r="N14" s="26"/>
      <c r="O14" s="26"/>
      <c r="P14" s="5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53"/>
      <c r="B15" s="19"/>
      <c r="C15" s="48"/>
      <c r="D15" s="21"/>
      <c r="E15" s="21"/>
      <c r="F15" s="21"/>
      <c r="G15" s="21"/>
      <c r="H15" s="21"/>
      <c r="I15" s="21"/>
      <c r="J15" s="54"/>
      <c r="K15" s="21"/>
      <c r="L15" s="21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47" t="s">
        <v>25</v>
      </c>
      <c r="B16" s="55"/>
      <c r="C16" s="20" t="s">
        <v>26</v>
      </c>
      <c r="D16" s="45">
        <v>264000000</v>
      </c>
      <c r="E16" s="45">
        <f>'[1]CONSOL NEW CITY HALL (264)'!$F$213</f>
        <v>242000000</v>
      </c>
      <c r="F16" s="45">
        <v>67555148</v>
      </c>
      <c r="G16" s="45">
        <f>SUM(E16:F16)</f>
        <v>309555148</v>
      </c>
      <c r="H16" s="45">
        <v>0</v>
      </c>
      <c r="I16" s="45">
        <v>0</v>
      </c>
      <c r="J16" s="45">
        <v>0</v>
      </c>
      <c r="K16" s="45">
        <v>66000000</v>
      </c>
      <c r="L16" s="45">
        <v>3927850.67</v>
      </c>
      <c r="M16" s="56">
        <f>SUM(K16:L16)</f>
        <v>69927850.670000002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28" t="s">
        <v>27</v>
      </c>
      <c r="B17" s="55" t="s">
        <v>28</v>
      </c>
      <c r="C17" s="57" t="s">
        <v>29</v>
      </c>
      <c r="D17" s="58"/>
      <c r="E17" s="58"/>
      <c r="F17" s="44"/>
      <c r="G17" s="58"/>
      <c r="H17" s="45"/>
      <c r="I17" s="45"/>
      <c r="J17" s="45"/>
      <c r="K17" s="58"/>
      <c r="L17" s="45"/>
      <c r="M17" s="4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/>
      <c r="B18" s="55"/>
      <c r="C18" s="48" t="s">
        <v>30</v>
      </c>
      <c r="D18" s="58"/>
      <c r="E18" s="58"/>
      <c r="F18" s="58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59"/>
      <c r="B19" s="60"/>
      <c r="C19" s="33" t="s">
        <v>24</v>
      </c>
      <c r="D19" s="61"/>
      <c r="E19" s="61"/>
      <c r="F19" s="61"/>
      <c r="G19" s="61"/>
      <c r="H19" s="62"/>
      <c r="I19" s="62"/>
      <c r="J19" s="62"/>
      <c r="K19" s="61"/>
      <c r="L19" s="62"/>
      <c r="M19" s="63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28"/>
      <c r="B20" s="55"/>
      <c r="C20" s="20"/>
      <c r="D20" s="21"/>
      <c r="E20" s="21"/>
      <c r="F20" s="21"/>
      <c r="G20" s="21"/>
      <c r="H20" s="45"/>
      <c r="I20" s="58"/>
      <c r="J20" s="68"/>
      <c r="K20" s="21"/>
      <c r="L20" s="58"/>
      <c r="M20" s="6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 t="s">
        <v>33</v>
      </c>
      <c r="B21" s="55"/>
      <c r="C21" s="20" t="s">
        <v>34</v>
      </c>
      <c r="D21" s="21"/>
      <c r="E21" s="43"/>
      <c r="F21" s="44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/>
      <c r="B22" s="19" t="s">
        <v>37</v>
      </c>
      <c r="C22" s="48" t="s">
        <v>30</v>
      </c>
      <c r="D22" s="21">
        <v>8392000</v>
      </c>
      <c r="E22" s="21">
        <f>'[1]LAND (8.3M)'!$F$53</f>
        <v>349666.67</v>
      </c>
      <c r="F22" s="21">
        <f>'[1]LAND (8.3M)'!$E$53</f>
        <v>77896.990000000005</v>
      </c>
      <c r="G22" s="21">
        <f>SUM(E22:F22)</f>
        <v>427563.66</v>
      </c>
      <c r="H22" s="21">
        <f>'[3]8.3M'!$G$31</f>
        <v>1398666.68</v>
      </c>
      <c r="I22" s="21">
        <f>'[3]8.3M'!$H$31</f>
        <v>259221.49437372229</v>
      </c>
      <c r="J22" s="54">
        <f>H22+I22</f>
        <v>1657888.1743737222</v>
      </c>
      <c r="K22" s="21">
        <f>D22-E22</f>
        <v>8042333.3300000001</v>
      </c>
      <c r="L22" s="21">
        <f>[1]INTEREST!$D$9</f>
        <v>509558.50757605629</v>
      </c>
      <c r="M22" s="56">
        <f t="shared" ref="M22" si="1">SUM(K22:L22)</f>
        <v>8551891.8375760559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/>
      <c r="C23" s="48"/>
      <c r="D23" s="21"/>
      <c r="E23" s="21"/>
      <c r="F23" s="21"/>
      <c r="G23" s="21"/>
      <c r="H23" s="21"/>
      <c r="I23" s="21"/>
      <c r="J23" s="23"/>
      <c r="K23" s="21"/>
      <c r="L23" s="21"/>
      <c r="M23" s="5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70" t="s">
        <v>38</v>
      </c>
      <c r="B24" s="71"/>
      <c r="C24" s="72" t="s">
        <v>26</v>
      </c>
      <c r="D24" s="73"/>
      <c r="E24" s="74"/>
      <c r="F24" s="74"/>
      <c r="G24" s="74"/>
      <c r="H24" s="74"/>
      <c r="I24" s="74"/>
      <c r="J24" s="75"/>
      <c r="K24" s="74"/>
      <c r="L24" s="74"/>
      <c r="M24" s="76"/>
      <c r="N24" s="26"/>
      <c r="O24" s="52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7" t="s">
        <v>39</v>
      </c>
      <c r="B25" s="78"/>
      <c r="C25" s="48" t="s">
        <v>40</v>
      </c>
      <c r="D25" s="79">
        <v>115500000</v>
      </c>
      <c r="E25" s="80">
        <v>0</v>
      </c>
      <c r="F25" s="21">
        <f>'[1]NEW CITY HALL (231M)'!$F$19</f>
        <v>18560562.810000002</v>
      </c>
      <c r="G25" s="21">
        <f>SUM(E25:F25)</f>
        <v>18560562.810000002</v>
      </c>
      <c r="H25" s="21">
        <f>'[4]231M'!$G$20</f>
        <v>7218750</v>
      </c>
      <c r="I25" s="21">
        <f>'[4]231M'!$H$20</f>
        <v>7551815.104166667</v>
      </c>
      <c r="J25" s="23">
        <f>H25+I25</f>
        <v>14770565.104166668</v>
      </c>
      <c r="K25" s="21">
        <f>D25-E25</f>
        <v>115500000</v>
      </c>
      <c r="L25" s="21">
        <f>[1]INTEREST!$D$6</f>
        <v>28084994.481666669</v>
      </c>
      <c r="M25" s="56">
        <f>SUM(K25:L25)</f>
        <v>143584994.48166668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49"/>
      <c r="B26" s="117" t="s">
        <v>41</v>
      </c>
      <c r="C26" s="33" t="s">
        <v>24</v>
      </c>
      <c r="D26" s="83"/>
      <c r="E26" s="37"/>
      <c r="F26" s="37"/>
      <c r="G26" s="34"/>
      <c r="H26" s="34"/>
      <c r="I26" s="34"/>
      <c r="J26" s="35"/>
      <c r="K26" s="34"/>
      <c r="L26" s="34"/>
      <c r="M26" s="118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53"/>
      <c r="B27" s="81"/>
      <c r="C27" s="48"/>
      <c r="D27" s="79"/>
      <c r="E27" s="80"/>
      <c r="F27" s="80"/>
      <c r="G27" s="21"/>
      <c r="H27" s="21"/>
      <c r="I27" s="21"/>
      <c r="J27" s="23"/>
      <c r="K27" s="21"/>
      <c r="L27" s="21"/>
      <c r="M27" s="5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 t="s">
        <v>57</v>
      </c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3"/>
      <c r="B29" s="81"/>
      <c r="C29" s="48"/>
      <c r="D29" s="79"/>
      <c r="E29" s="80"/>
      <c r="F29" s="80"/>
      <c r="G29" s="21"/>
      <c r="H29" s="21"/>
      <c r="I29" s="21"/>
      <c r="J29" s="23"/>
      <c r="K29" s="21"/>
      <c r="L29" s="21"/>
      <c r="M29" s="5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2.75">
      <c r="A30" s="119" t="s">
        <v>38</v>
      </c>
      <c r="B30" s="81"/>
      <c r="C30" s="48" t="s">
        <v>26</v>
      </c>
      <c r="D30" s="79"/>
      <c r="E30" s="80"/>
      <c r="F30" s="80"/>
      <c r="G30" s="21"/>
      <c r="H30" s="21"/>
      <c r="I30" s="21"/>
      <c r="J30" s="23"/>
      <c r="K30" s="21"/>
      <c r="L30" s="21"/>
      <c r="M30" s="5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19" t="s">
        <v>39</v>
      </c>
      <c r="B31" s="81"/>
      <c r="C31" s="48" t="s">
        <v>40</v>
      </c>
      <c r="D31" s="79">
        <v>115500000</v>
      </c>
      <c r="E31" s="80"/>
      <c r="F31" s="80"/>
      <c r="G31" s="21"/>
      <c r="H31" s="21"/>
      <c r="I31" s="21"/>
      <c r="J31" s="23"/>
      <c r="K31" s="21"/>
      <c r="L31" s="21"/>
      <c r="M31" s="5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2.75">
      <c r="A32" s="53"/>
      <c r="B32" s="81"/>
      <c r="C32" s="48" t="s">
        <v>24</v>
      </c>
      <c r="D32" s="79"/>
      <c r="E32" s="80"/>
      <c r="F32" s="80"/>
      <c r="G32" s="21"/>
      <c r="H32" s="21"/>
      <c r="I32" s="21"/>
      <c r="J32" s="23"/>
      <c r="K32" s="21"/>
      <c r="L32" s="21"/>
      <c r="M32" s="5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53"/>
      <c r="B33" s="81"/>
      <c r="C33" s="48"/>
      <c r="D33" s="79"/>
      <c r="E33" s="80"/>
      <c r="F33" s="80"/>
      <c r="G33" s="21"/>
      <c r="H33" s="21"/>
      <c r="I33" s="21"/>
      <c r="J33" s="23"/>
      <c r="K33" s="21"/>
      <c r="L33" s="21"/>
      <c r="M33" s="5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119" t="s">
        <v>58</v>
      </c>
      <c r="B34" s="81"/>
      <c r="C34" s="48" t="s">
        <v>59</v>
      </c>
      <c r="D34" s="79"/>
      <c r="E34" s="80"/>
      <c r="F34" s="80"/>
      <c r="G34" s="21"/>
      <c r="H34" s="21"/>
      <c r="I34" s="21"/>
      <c r="J34" s="23"/>
      <c r="K34" s="21"/>
      <c r="L34" s="21"/>
      <c r="M34" s="5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53"/>
      <c r="B35" s="81"/>
      <c r="C35" s="48" t="s">
        <v>60</v>
      </c>
      <c r="D35" s="79">
        <v>80000000</v>
      </c>
      <c r="E35" s="80"/>
      <c r="F35" s="80"/>
      <c r="G35" s="21"/>
      <c r="H35" s="21"/>
      <c r="I35" s="21"/>
      <c r="J35" s="23"/>
      <c r="K35" s="21"/>
      <c r="L35" s="21"/>
      <c r="M35" s="5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A36" s="53"/>
      <c r="B36" s="81"/>
      <c r="C36" s="48" t="s">
        <v>24</v>
      </c>
      <c r="D36" s="79"/>
      <c r="E36" s="80"/>
      <c r="F36" s="80"/>
      <c r="G36" s="21"/>
      <c r="H36" s="21"/>
      <c r="I36" s="21"/>
      <c r="J36" s="23"/>
      <c r="K36" s="21"/>
      <c r="L36" s="21"/>
      <c r="M36" s="5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A37" s="53"/>
      <c r="B37" s="81"/>
      <c r="C37" s="48"/>
      <c r="D37" s="79"/>
      <c r="E37" s="80"/>
      <c r="F37" s="80"/>
      <c r="G37" s="21"/>
      <c r="H37" s="21"/>
      <c r="I37" s="21"/>
      <c r="J37" s="23"/>
      <c r="K37" s="21"/>
      <c r="L37" s="21"/>
      <c r="M37" s="5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A38" s="59"/>
      <c r="B38" s="82"/>
      <c r="C38" s="33"/>
      <c r="D38" s="83"/>
      <c r="E38" s="34"/>
      <c r="F38" s="34"/>
      <c r="G38" s="34"/>
      <c r="H38" s="34"/>
      <c r="I38" s="34"/>
      <c r="J38" s="35"/>
      <c r="K38" s="34"/>
      <c r="L38" s="34"/>
      <c r="M38" s="8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3.5" thickBot="1">
      <c r="A39" s="85" t="s">
        <v>42</v>
      </c>
      <c r="B39" s="86"/>
      <c r="C39" s="87"/>
      <c r="D39" s="88">
        <f>D12+D16+D22+D25</f>
        <v>587892000</v>
      </c>
      <c r="E39" s="88">
        <f>E12+E16+E22+E25</f>
        <v>442349666.66000003</v>
      </c>
      <c r="F39" s="88">
        <f t="shared" ref="F39:M39" si="2">F12+F16+F22+F25</f>
        <v>139509797.19</v>
      </c>
      <c r="G39" s="88">
        <f t="shared" si="2"/>
        <v>581859463.8499999</v>
      </c>
      <c r="H39" s="88">
        <f t="shared" si="2"/>
        <v>8617416.6799999997</v>
      </c>
      <c r="I39" s="88">
        <f t="shared" si="2"/>
        <v>7811036.598540389</v>
      </c>
      <c r="J39" s="89">
        <f t="shared" si="2"/>
        <v>16428453.27854039</v>
      </c>
      <c r="K39" s="88">
        <f t="shared" si="2"/>
        <v>189542333.34000003</v>
      </c>
      <c r="L39" s="88">
        <f t="shared" si="2"/>
        <v>32522403.659242727</v>
      </c>
      <c r="M39" s="90">
        <f t="shared" si="2"/>
        <v>222064736.99924278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A40" s="18"/>
      <c r="B40" s="86"/>
      <c r="C40" s="91"/>
      <c r="D40" s="88"/>
      <c r="E40" s="88"/>
      <c r="F40" s="88"/>
      <c r="G40" s="88"/>
      <c r="H40" s="88"/>
      <c r="I40" s="88"/>
      <c r="J40" s="89"/>
      <c r="K40" s="88"/>
      <c r="L40" s="88"/>
      <c r="M40" s="9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3.5" thickBot="1">
      <c r="A41" s="93" t="s">
        <v>43</v>
      </c>
      <c r="B41" s="94"/>
      <c r="C41" s="95"/>
      <c r="D41" s="96">
        <f t="shared" ref="D41:M41" si="3">D10+D39</f>
        <v>749892000</v>
      </c>
      <c r="E41" s="96">
        <f t="shared" si="3"/>
        <v>502349666.66000003</v>
      </c>
      <c r="F41" s="96">
        <f t="shared" si="3"/>
        <v>186085536.93424657</v>
      </c>
      <c r="G41" s="96">
        <f t="shared" si="3"/>
        <v>688435203.59424651</v>
      </c>
      <c r="H41" s="96">
        <f t="shared" si="3"/>
        <v>26617416.68</v>
      </c>
      <c r="I41" s="96">
        <f t="shared" si="3"/>
        <v>16470865.365663677</v>
      </c>
      <c r="J41" s="96">
        <f t="shared" si="3"/>
        <v>43088282.045663677</v>
      </c>
      <c r="K41" s="96">
        <f t="shared" si="3"/>
        <v>291542333.34000003</v>
      </c>
      <c r="L41" s="96">
        <f t="shared" si="3"/>
        <v>55587739.25746192</v>
      </c>
      <c r="M41" s="96">
        <f t="shared" si="3"/>
        <v>347130072.59746194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97"/>
      <c r="B42" s="97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A43" s="97"/>
      <c r="B43" s="97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A44" s="97"/>
      <c r="B44" s="97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11"/>
      <c r="C45" s="111"/>
      <c r="J45" s="100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11"/>
      <c r="C46" s="101" t="s">
        <v>44</v>
      </c>
      <c r="D46" s="111"/>
      <c r="H46" s="102" t="s">
        <v>45</v>
      </c>
      <c r="J46" s="100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11"/>
      <c r="C47" s="103"/>
      <c r="D47" s="111"/>
      <c r="H47" s="102"/>
      <c r="J47" s="100"/>
      <c r="K47" s="10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11"/>
      <c r="C48" s="103"/>
      <c r="D48" s="111"/>
      <c r="H48" s="102"/>
      <c r="J48" s="100"/>
      <c r="K48" s="105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s="27" customFormat="1" ht="12.75">
      <c r="B49" s="111"/>
      <c r="C49" s="110" t="s">
        <v>49</v>
      </c>
      <c r="D49" s="110"/>
      <c r="E49" s="110"/>
      <c r="H49" s="284" t="s">
        <v>46</v>
      </c>
      <c r="I49" s="284"/>
      <c r="J49" s="108"/>
      <c r="K49" s="105"/>
      <c r="L49" s="11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s="27" customFormat="1" ht="12.75">
      <c r="B50" s="111"/>
      <c r="C50" s="111" t="s">
        <v>47</v>
      </c>
      <c r="D50" s="111"/>
      <c r="E50" s="111"/>
      <c r="H50" s="285" t="s">
        <v>48</v>
      </c>
      <c r="I50" s="285"/>
      <c r="J50" s="100"/>
      <c r="L50" s="111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s="27" customFormat="1" ht="12.75">
      <c r="A51" s="111"/>
      <c r="B51" s="111"/>
      <c r="C51" s="111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s="27" customFormat="1" ht="12.75">
      <c r="B52" s="111"/>
      <c r="C52" s="111"/>
      <c r="D52" s="104"/>
      <c r="J52" s="100"/>
      <c r="K52" s="10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s="27" customFormat="1" ht="12.75">
      <c r="B53" s="111"/>
      <c r="C53" s="111"/>
      <c r="D53" s="104"/>
      <c r="J53" s="100"/>
      <c r="K53" s="10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s="27" customFormat="1" ht="12.75">
      <c r="B54" s="111"/>
      <c r="C54" s="111"/>
      <c r="D54" s="104"/>
      <c r="J54" s="100"/>
      <c r="K54" s="10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s="27" customFormat="1" ht="12.75">
      <c r="B55" s="111"/>
      <c r="C55" s="111"/>
      <c r="D55" s="104"/>
      <c r="J55" s="100"/>
      <c r="K55" s="105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s="27" customFormat="1" ht="12.75">
      <c r="B56" s="111"/>
      <c r="C56" s="111"/>
      <c r="D56" s="104"/>
      <c r="E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s="27" customFormat="1" ht="12.75">
      <c r="B57" s="111"/>
      <c r="C57" s="111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s="27" customFormat="1" ht="12.75">
      <c r="B58" s="111"/>
      <c r="C58" s="111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s="27" customFormat="1" ht="12.75">
      <c r="B59" s="111"/>
      <c r="C59" s="111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s="27" customFormat="1" ht="12.75">
      <c r="B60" s="111"/>
      <c r="C60" s="111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27" customFormat="1" ht="12.75">
      <c r="B61" s="111"/>
      <c r="C61" s="111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s="27" customFormat="1" ht="12.75">
      <c r="B62" s="111"/>
      <c r="C62" s="111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s="27" customFormat="1" ht="12.75">
      <c r="B63" s="111"/>
      <c r="C63" s="111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s="27" customFormat="1" ht="12.75">
      <c r="B64" s="111"/>
      <c r="C64" s="111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11"/>
      <c r="C65" s="111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11"/>
      <c r="C66" s="111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11"/>
      <c r="C67" s="111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2:47" s="27" customFormat="1" ht="12.75">
      <c r="B68" s="111"/>
      <c r="C68" s="111"/>
      <c r="D68" s="104"/>
      <c r="J68" s="10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2:47" s="27" customFormat="1" ht="12.75">
      <c r="B69" s="111"/>
      <c r="C69" s="111"/>
      <c r="D69" s="104"/>
      <c r="J69" s="10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2:47" s="27" customFormat="1" ht="12.75">
      <c r="B70" s="111"/>
      <c r="C70" s="111"/>
      <c r="D70" s="104"/>
      <c r="J70" s="100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s="27" customFormat="1" ht="12.75">
      <c r="B71" s="111"/>
      <c r="C71" s="111"/>
      <c r="D71" s="104"/>
      <c r="J71" s="100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2:47" s="27" customFormat="1" ht="12.75">
      <c r="B72" s="111"/>
      <c r="C72" s="111"/>
      <c r="D72" s="104"/>
      <c r="J72" s="10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2:47" s="27" customFormat="1" ht="12.75">
      <c r="B73" s="111"/>
      <c r="C73" s="111"/>
      <c r="D73" s="104"/>
      <c r="J73" s="10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s="27" customFormat="1" ht="12.75">
      <c r="B74" s="111"/>
      <c r="C74" s="111"/>
      <c r="D74" s="104"/>
      <c r="J74" s="10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s="27" customFormat="1" ht="12.75">
      <c r="B75" s="111"/>
      <c r="C75" s="111"/>
      <c r="D75" s="104"/>
      <c r="J75" s="100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2:47" s="27" customFormat="1" ht="12.75">
      <c r="B76" s="111"/>
      <c r="C76" s="111"/>
      <c r="D76" s="104"/>
      <c r="J76" s="100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</sheetData>
  <mergeCells count="8">
    <mergeCell ref="H49:I49"/>
    <mergeCell ref="H50:I50"/>
    <mergeCell ref="A1:M1"/>
    <mergeCell ref="A2:M2"/>
    <mergeCell ref="A3:M3"/>
    <mergeCell ref="E5:G5"/>
    <mergeCell ref="H5:J5"/>
    <mergeCell ref="K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7"/>
  <sheetViews>
    <sheetView workbookViewId="0">
      <selection activeCell="M17" sqref="M17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79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78</v>
      </c>
      <c r="F6" s="288"/>
      <c r="G6" s="289"/>
      <c r="H6" s="287" t="s">
        <v>51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</f>
        <v>60000000</v>
      </c>
      <c r="F8" s="22">
        <f>'[1]PNB 162M'!$F$63</f>
        <v>46575739.744246565</v>
      </c>
      <c r="G8" s="21">
        <f>SUM(E8:F8)</f>
        <v>106575739.74424657</v>
      </c>
      <c r="H8" s="21">
        <f>SUM('[2]NEW 162M'!$C$55:$C$62)</f>
        <v>12000000</v>
      </c>
      <c r="I8" s="21">
        <f>SUM('[2]NEW 162M'!$D$55:$D$62)</f>
        <v>5634143.8356164386</v>
      </c>
      <c r="J8" s="23">
        <f>H8+I8</f>
        <v>17634143.83561644</v>
      </c>
      <c r="K8" s="21">
        <f>D8-E8</f>
        <v>102000000</v>
      </c>
      <c r="L8" s="24">
        <f>'[2]NEW 162M'!$D$131-F8</f>
        <v>23065335.598219194</v>
      </c>
      <c r="M8" s="25">
        <f>SUM(K8:L8)</f>
        <v>125065335.59821919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60000000</v>
      </c>
      <c r="F11" s="37">
        <f>SUM(F8:F10)</f>
        <v>46575739.744246565</v>
      </c>
      <c r="G11" s="37">
        <f t="shared" si="0"/>
        <v>106575739.74424657</v>
      </c>
      <c r="H11" s="37">
        <f t="shared" si="0"/>
        <v>12000000</v>
      </c>
      <c r="I11" s="37">
        <f t="shared" si="0"/>
        <v>5634143.8356164386</v>
      </c>
      <c r="J11" s="38">
        <f t="shared" si="0"/>
        <v>17634143.83561644</v>
      </c>
      <c r="K11" s="37">
        <f t="shared" si="0"/>
        <v>102000000</v>
      </c>
      <c r="L11" s="37">
        <f>SUM(L8:L10)</f>
        <v>23065335.598219194</v>
      </c>
      <c r="M11" s="39">
        <f>SUM(K11:L11)</f>
        <v>125065335.59821919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(200M)'!$G$108+0.01</f>
        <v>199999999.99999997</v>
      </c>
      <c r="F13" s="44">
        <f>'[1]NEW CITY HALL (200M)'!$F$108</f>
        <v>53316189.390000001</v>
      </c>
      <c r="G13" s="21">
        <f>SUM(E13:F13)</f>
        <v>253316189.38999999</v>
      </c>
      <c r="H13" s="21">
        <v>0</v>
      </c>
      <c r="I13" s="21">
        <v>0</v>
      </c>
      <c r="J13" s="23">
        <v>0</v>
      </c>
      <c r="K13" s="45">
        <f>D13-E13</f>
        <v>0</v>
      </c>
      <c r="L13" s="21">
        <v>0</v>
      </c>
      <c r="M13" s="46">
        <f>SUM(K13:L13)</f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242000000</v>
      </c>
      <c r="F17" s="45">
        <f>'[1]CONSOL NEW CITY HALL (264)'!$E$213</f>
        <v>70534166</v>
      </c>
      <c r="G17" s="45">
        <f>SUM(E17:F17)</f>
        <v>312534166</v>
      </c>
      <c r="H17" s="45">
        <f>11000000*3</f>
        <v>33000000</v>
      </c>
      <c r="I17" s="45">
        <f>730353.92+547631.7+883301.92</f>
        <v>2161287.54</v>
      </c>
      <c r="J17" s="45">
        <f>SUM(H17:I17)</f>
        <v>35161287.539999999</v>
      </c>
      <c r="K17" s="45">
        <f>D17-E17</f>
        <v>22000000</v>
      </c>
      <c r="L17" s="45">
        <f>9957030.15-1786965.03-1544676.91-1460725.28-1236812.26-'[1]CONSOL NEW CITY HALL (264)'!$E$207-'[1]CONSOL NEW CITY HALL (264)'!$E$208</f>
        <v>1994430.9499999997</v>
      </c>
      <c r="M17" s="56">
        <f>SUM(K17:L17)</f>
        <v>23994430.949999999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0</v>
      </c>
      <c r="F23" s="21">
        <f>'[1]LAND (8.3M)'!$E$62</f>
        <v>0</v>
      </c>
      <c r="G23" s="21">
        <f>SUM(E23:F23)</f>
        <v>0</v>
      </c>
      <c r="H23" s="21">
        <f>SUM('[3]8.3M'!$C$30:$C$31)</f>
        <v>699333.34</v>
      </c>
      <c r="I23" s="21">
        <f>SUM('[3]8.3M'!$D$30:$D$31)</f>
        <v>116372.94982988892</v>
      </c>
      <c r="J23" s="54">
        <f>H23+I23</f>
        <v>815706.28982988885</v>
      </c>
      <c r="K23" s="21">
        <f>D23-E23</f>
        <v>8392000</v>
      </c>
      <c r="L23" s="21">
        <f>'[3]8.3M'!$D$39-F23</f>
        <v>2703651.7875760561</v>
      </c>
      <c r="M23" s="56">
        <f>SUM(K23:L23)</f>
        <v>11095651.787576057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7218750</v>
      </c>
      <c r="F26" s="21">
        <f>'[1]NEW CITY HALL (231M)'!$F$19</f>
        <v>18560562.810000002</v>
      </c>
      <c r="G26" s="21">
        <f>SUM(E26:F26)</f>
        <v>25779312.810000002</v>
      </c>
      <c r="H26" s="21">
        <f>SUM('[4]231M'!$C$17:$C$20)</f>
        <v>7218750</v>
      </c>
      <c r="I26" s="21">
        <f>SUM('[4]231M'!$D$19:$D$20)</f>
        <v>3777210.9375</v>
      </c>
      <c r="J26" s="23">
        <f>H26+I26</f>
        <v>10995960.9375</v>
      </c>
      <c r="K26" s="21">
        <f>D26-E26</f>
        <v>108281250</v>
      </c>
      <c r="L26" s="21">
        <f>'[4]231M'!$D$51-F26</f>
        <v>28084994.481666669</v>
      </c>
      <c r="M26" s="56">
        <f>SUM(K26:L26)</f>
        <v>136366244.48166668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f>D13+D17+D23+D26</f>
        <v>587892000</v>
      </c>
      <c r="E30" s="88">
        <f t="shared" ref="E30:M30" si="1">E13+E17+E23+E26</f>
        <v>449218750</v>
      </c>
      <c r="F30" s="88">
        <f t="shared" si="1"/>
        <v>142410918.19999999</v>
      </c>
      <c r="G30" s="88">
        <f t="shared" si="1"/>
        <v>591629668.20000005</v>
      </c>
      <c r="H30" s="88">
        <f t="shared" si="1"/>
        <v>40918083.340000004</v>
      </c>
      <c r="I30" s="88">
        <f t="shared" si="1"/>
        <v>6054871.4273298886</v>
      </c>
      <c r="J30" s="89">
        <f t="shared" si="1"/>
        <v>46972954.767329887</v>
      </c>
      <c r="K30" s="88">
        <f t="shared" si="1"/>
        <v>138673250</v>
      </c>
      <c r="L30" s="88">
        <f t="shared" si="1"/>
        <v>32783077.219242726</v>
      </c>
      <c r="M30" s="90">
        <f t="shared" si="1"/>
        <v>171456327.21924275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f t="shared" ref="D32:M32" si="2">D11+D30</f>
        <v>749892000</v>
      </c>
      <c r="E32" s="96">
        <f t="shared" si="2"/>
        <v>509218750</v>
      </c>
      <c r="F32" s="96">
        <f t="shared" si="2"/>
        <v>188986657.94424656</v>
      </c>
      <c r="G32" s="96">
        <f t="shared" si="2"/>
        <v>698205407.94424665</v>
      </c>
      <c r="H32" s="96">
        <f t="shared" si="2"/>
        <v>52918083.340000004</v>
      </c>
      <c r="I32" s="96">
        <f t="shared" si="2"/>
        <v>11689015.262946326</v>
      </c>
      <c r="J32" s="96">
        <f t="shared" si="2"/>
        <v>64607098.602946326</v>
      </c>
      <c r="K32" s="96">
        <f t="shared" si="2"/>
        <v>240673250</v>
      </c>
      <c r="L32" s="96">
        <f t="shared" si="2"/>
        <v>55848412.817461923</v>
      </c>
      <c r="M32" s="96">
        <f t="shared" si="2"/>
        <v>296521662.81746197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32"/>
      <c r="C36" s="132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32"/>
      <c r="C37" s="101" t="s">
        <v>44</v>
      </c>
      <c r="D37" s="132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32"/>
      <c r="C38" s="103"/>
      <c r="D38" s="132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32"/>
      <c r="C39" s="103"/>
      <c r="D39" s="132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32"/>
      <c r="C40" s="131" t="s">
        <v>49</v>
      </c>
      <c r="D40" s="131"/>
      <c r="E40" s="131"/>
      <c r="H40" s="284" t="s">
        <v>46</v>
      </c>
      <c r="I40" s="284"/>
      <c r="J40" s="108"/>
      <c r="K40" s="105"/>
      <c r="L40" s="131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32"/>
      <c r="C41" s="132" t="s">
        <v>47</v>
      </c>
      <c r="D41" s="132"/>
      <c r="E41" s="132"/>
      <c r="H41" s="285" t="s">
        <v>48</v>
      </c>
      <c r="I41" s="285"/>
      <c r="J41" s="100"/>
      <c r="L41" s="132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32"/>
      <c r="B42" s="132"/>
      <c r="C42" s="132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32"/>
      <c r="C43" s="132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32"/>
      <c r="C44" s="132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32"/>
      <c r="C45" s="132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32"/>
      <c r="C46" s="132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32"/>
      <c r="C47" s="132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32"/>
      <c r="C48" s="132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32"/>
      <c r="C49" s="132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32"/>
      <c r="C50" s="132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32"/>
      <c r="C51" s="132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32"/>
      <c r="C52" s="132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32"/>
      <c r="C53" s="132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32"/>
      <c r="C54" s="132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32"/>
      <c r="C55" s="132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32"/>
      <c r="C56" s="132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32"/>
      <c r="C57" s="132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32"/>
      <c r="C58" s="132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32"/>
      <c r="C59" s="132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32"/>
      <c r="C60" s="132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32"/>
      <c r="C61" s="132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32"/>
      <c r="C62" s="132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32"/>
      <c r="C63" s="132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32"/>
      <c r="C64" s="132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32"/>
      <c r="C65" s="132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32"/>
      <c r="C66" s="132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32"/>
      <c r="C67" s="132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4:M4"/>
    <mergeCell ref="E6:G6"/>
    <mergeCell ref="H6:J6"/>
    <mergeCell ref="K6:M6"/>
    <mergeCell ref="A3:M3"/>
  </mergeCells>
  <pageMargins left="0.45" right="0.45" top="0.75" bottom="0.25" header="0.3" footer="0.3"/>
  <pageSetup paperSize="10000"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7"/>
  <sheetViews>
    <sheetView workbookViewId="0">
      <selection activeCell="M17" sqref="M17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80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81</v>
      </c>
      <c r="F6" s="288"/>
      <c r="G6" s="289"/>
      <c r="H6" s="287" t="s">
        <v>51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v>49500000</v>
      </c>
      <c r="F8" s="22">
        <v>41984404.104246564</v>
      </c>
      <c r="G8" s="21">
        <v>91484404.104246557</v>
      </c>
      <c r="H8" s="21">
        <v>10500000</v>
      </c>
      <c r="I8" s="21">
        <v>4907979.4520547949</v>
      </c>
      <c r="J8" s="23">
        <v>15407979.452054795</v>
      </c>
      <c r="K8" s="21">
        <v>112500000</v>
      </c>
      <c r="L8" s="24">
        <v>27656671.238219194</v>
      </c>
      <c r="M8" s="25">
        <v>140156671.2382192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v>162000000</v>
      </c>
      <c r="E11" s="37">
        <v>49500000</v>
      </c>
      <c r="F11" s="37">
        <v>41984404.104246564</v>
      </c>
      <c r="G11" s="37">
        <v>91484404.104246557</v>
      </c>
      <c r="H11" s="37">
        <v>10500000</v>
      </c>
      <c r="I11" s="37">
        <v>4907979.4520547949</v>
      </c>
      <c r="J11" s="38">
        <v>15407979.452054795</v>
      </c>
      <c r="K11" s="37">
        <v>112500000</v>
      </c>
      <c r="L11" s="37">
        <v>27656671.238219194</v>
      </c>
      <c r="M11" s="39">
        <v>140156671.2382192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v>199999999.99999997</v>
      </c>
      <c r="F13" s="44">
        <v>53316189.390000001</v>
      </c>
      <c r="G13" s="21">
        <v>253316189.38999999</v>
      </c>
      <c r="H13" s="21">
        <v>0</v>
      </c>
      <c r="I13" s="21">
        <v>0</v>
      </c>
      <c r="J13" s="23">
        <v>0</v>
      </c>
      <c r="K13" s="45">
        <v>0</v>
      </c>
      <c r="L13" s="21">
        <v>0</v>
      </c>
      <c r="M13" s="46"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v>220000000</v>
      </c>
      <c r="F17" s="45">
        <v>69488567.719999999</v>
      </c>
      <c r="G17" s="45">
        <v>289488567.72000003</v>
      </c>
      <c r="H17" s="45">
        <v>22000000</v>
      </c>
      <c r="I17" s="45">
        <v>1277985.6200000001</v>
      </c>
      <c r="J17" s="45">
        <v>23277985.620000001</v>
      </c>
      <c r="K17" s="45">
        <v>44000000</v>
      </c>
      <c r="L17" s="45">
        <v>1994430.9499999997</v>
      </c>
      <c r="M17" s="56">
        <v>45994430.950000003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v>5245000.05</v>
      </c>
      <c r="F23" s="21">
        <v>2115690.2500000005</v>
      </c>
      <c r="G23" s="21">
        <v>7360690.3000000007</v>
      </c>
      <c r="H23" s="21">
        <v>699333.34</v>
      </c>
      <c r="I23" s="21">
        <v>116372.94982988892</v>
      </c>
      <c r="J23" s="54">
        <v>815706.28982988885</v>
      </c>
      <c r="K23" s="21">
        <v>3146999.95</v>
      </c>
      <c r="L23" s="21">
        <v>587961.53757605562</v>
      </c>
      <c r="M23" s="56"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v>0</v>
      </c>
      <c r="F26" s="21">
        <v>15269262.260000002</v>
      </c>
      <c r="G26" s="21">
        <v>15269262.260000002</v>
      </c>
      <c r="H26" s="21">
        <v>7218750</v>
      </c>
      <c r="I26" s="21">
        <v>3777210.9375</v>
      </c>
      <c r="J26" s="23">
        <v>10995960.9375</v>
      </c>
      <c r="K26" s="21">
        <v>115500000</v>
      </c>
      <c r="L26" s="21">
        <v>31376295.03166667</v>
      </c>
      <c r="M26" s="56"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v>587892000</v>
      </c>
      <c r="E30" s="88">
        <v>425245000.05000001</v>
      </c>
      <c r="F30" s="88">
        <v>140189709.62</v>
      </c>
      <c r="G30" s="88">
        <v>565434709.66999996</v>
      </c>
      <c r="H30" s="88">
        <v>29918083.34</v>
      </c>
      <c r="I30" s="88">
        <v>5171569.5073298886</v>
      </c>
      <c r="J30" s="89">
        <v>35089652.847329885</v>
      </c>
      <c r="K30" s="88">
        <v>162646999.94999999</v>
      </c>
      <c r="L30" s="88">
        <v>33958687.519242726</v>
      </c>
      <c r="M30" s="90">
        <v>196605687.46924272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v>749892000</v>
      </c>
      <c r="E32" s="96">
        <v>474745000.05000001</v>
      </c>
      <c r="F32" s="96">
        <v>182174113.72424656</v>
      </c>
      <c r="G32" s="96">
        <v>656919113.77424645</v>
      </c>
      <c r="H32" s="96">
        <v>40418083.340000004</v>
      </c>
      <c r="I32" s="96">
        <v>10079548.959384684</v>
      </c>
      <c r="J32" s="96">
        <v>50497632.299384683</v>
      </c>
      <c r="K32" s="96">
        <v>275146999.94999999</v>
      </c>
      <c r="L32" s="96">
        <v>61615358.75746192</v>
      </c>
      <c r="M32" s="96">
        <v>336762358.70746195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45"/>
      <c r="C36" s="145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45"/>
      <c r="C37" s="101" t="s">
        <v>44</v>
      </c>
      <c r="D37" s="145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45"/>
      <c r="C38" s="103"/>
      <c r="D38" s="145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45"/>
      <c r="C39" s="103"/>
      <c r="D39" s="145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45"/>
      <c r="C40" s="144" t="s">
        <v>49</v>
      </c>
      <c r="D40" s="144"/>
      <c r="E40" s="144"/>
      <c r="H40" s="284" t="s">
        <v>46</v>
      </c>
      <c r="I40" s="284"/>
      <c r="J40" s="108"/>
      <c r="K40" s="105"/>
      <c r="L40" s="14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45"/>
      <c r="C41" s="145" t="s">
        <v>47</v>
      </c>
      <c r="D41" s="145"/>
      <c r="E41" s="145"/>
      <c r="H41" s="285" t="s">
        <v>48</v>
      </c>
      <c r="I41" s="285"/>
      <c r="J41" s="100"/>
      <c r="L41" s="14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45"/>
      <c r="B42" s="145"/>
      <c r="C42" s="145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45"/>
      <c r="C43" s="145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45"/>
      <c r="C44" s="145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45"/>
      <c r="C45" s="145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45"/>
      <c r="C46" s="145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45"/>
      <c r="C47" s="145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45"/>
      <c r="C48" s="145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45"/>
      <c r="C49" s="145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45"/>
      <c r="C50" s="145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45"/>
      <c r="C51" s="145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45"/>
      <c r="C52" s="145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45"/>
      <c r="C53" s="145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45"/>
      <c r="C54" s="145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45"/>
      <c r="C55" s="145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45"/>
      <c r="C56" s="145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45"/>
      <c r="C57" s="145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45"/>
      <c r="C58" s="145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45"/>
      <c r="C59" s="145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45"/>
      <c r="C60" s="145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45"/>
      <c r="C61" s="145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45"/>
      <c r="C62" s="145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45"/>
      <c r="C63" s="145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45"/>
      <c r="C64" s="145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45"/>
      <c r="C65" s="145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45"/>
      <c r="C66" s="145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45"/>
      <c r="C67" s="145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45" right="0.45" top="0.75" bottom="0.25" header="0.3" footer="0.3"/>
  <pageSetup paperSize="258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7"/>
  <sheetViews>
    <sheetView topLeftCell="E1" workbookViewId="0">
      <selection activeCell="M17" sqref="M17"/>
    </sheetView>
  </sheetViews>
  <sheetFormatPr defaultRowHeight="12"/>
  <cols>
    <col min="1" max="1" width="40" style="2" customWidth="1"/>
    <col min="2" max="2" width="17.42578125" style="3" bestFit="1" customWidth="1"/>
    <col min="3" max="3" width="59" style="3" customWidth="1"/>
    <col min="4" max="4" width="15" style="4" customWidth="1"/>
    <col min="5" max="9" width="14.85546875" style="2" customWidth="1"/>
    <col min="10" max="10" width="14.85546875" style="5" customWidth="1"/>
    <col min="11" max="12" width="14.85546875" style="2" customWidth="1"/>
    <col min="13" max="13" width="14.85546875" style="1" customWidth="1"/>
    <col min="14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82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83</v>
      </c>
      <c r="F6" s="288"/>
      <c r="G6" s="289"/>
      <c r="H6" s="287" t="s">
        <v>51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v>51000000</v>
      </c>
      <c r="F8" s="22">
        <v>42677126.714246564</v>
      </c>
      <c r="G8" s="21">
        <v>93677126.714246571</v>
      </c>
      <c r="H8" s="21">
        <v>9000000</v>
      </c>
      <c r="I8" s="21">
        <v>4167482.8767123283</v>
      </c>
      <c r="J8" s="23">
        <v>13167482.876712328</v>
      </c>
      <c r="K8" s="21">
        <v>111000000</v>
      </c>
      <c r="L8" s="24">
        <v>26963948.628219195</v>
      </c>
      <c r="M8" s="25">
        <v>137963948.62821919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v>162000000</v>
      </c>
      <c r="E11" s="37">
        <v>51000000</v>
      </c>
      <c r="F11" s="37">
        <v>42677126.714246564</v>
      </c>
      <c r="G11" s="37">
        <v>93677126.714246571</v>
      </c>
      <c r="H11" s="37">
        <v>9000000</v>
      </c>
      <c r="I11" s="37">
        <v>4167482.8767123283</v>
      </c>
      <c r="J11" s="38">
        <v>13167482.876712328</v>
      </c>
      <c r="K11" s="37">
        <v>111000000</v>
      </c>
      <c r="L11" s="37">
        <v>26963948.628219195</v>
      </c>
      <c r="M11" s="39">
        <v>137963948.62821919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v>199999999.99999997</v>
      </c>
      <c r="F13" s="44">
        <v>53316189.390000001</v>
      </c>
      <c r="G13" s="21">
        <v>253316189.38999999</v>
      </c>
      <c r="H13" s="21">
        <v>0</v>
      </c>
      <c r="I13" s="21">
        <v>0</v>
      </c>
      <c r="J13" s="23">
        <v>0</v>
      </c>
      <c r="K13" s="45">
        <v>0</v>
      </c>
      <c r="L13" s="21">
        <v>0</v>
      </c>
      <c r="M13" s="46">
        <v>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v>220000000</v>
      </c>
      <c r="F17" s="45">
        <v>69488567.719999999</v>
      </c>
      <c r="G17" s="45">
        <v>289488567.72000003</v>
      </c>
      <c r="H17" s="45">
        <v>22000000</v>
      </c>
      <c r="I17" s="45">
        <v>1277985.6200000001</v>
      </c>
      <c r="J17" s="45">
        <v>23277985.620000001</v>
      </c>
      <c r="K17" s="45">
        <v>44000000</v>
      </c>
      <c r="L17" s="45">
        <v>1823250</v>
      </c>
      <c r="M17" s="56">
        <v>45823250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v>5245000.05</v>
      </c>
      <c r="F23" s="21">
        <v>2115690.2500000005</v>
      </c>
      <c r="G23" s="21">
        <v>7360690.3000000007</v>
      </c>
      <c r="H23" s="21">
        <v>699333.34</v>
      </c>
      <c r="I23" s="21">
        <v>116372.94982988892</v>
      </c>
      <c r="J23" s="54">
        <v>815706.28982988885</v>
      </c>
      <c r="K23" s="21">
        <v>3146999.95</v>
      </c>
      <c r="L23" s="21">
        <v>587961.53757605562</v>
      </c>
      <c r="M23" s="56">
        <v>3734961.4875760558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v>0</v>
      </c>
      <c r="F26" s="21">
        <v>15269262.260000002</v>
      </c>
      <c r="G26" s="21">
        <v>15269262.260000002</v>
      </c>
      <c r="H26" s="21">
        <v>7218750</v>
      </c>
      <c r="I26" s="21">
        <v>3777210.9375</v>
      </c>
      <c r="J26" s="23">
        <v>10995960.9375</v>
      </c>
      <c r="K26" s="21">
        <v>115500000</v>
      </c>
      <c r="L26" s="21">
        <v>31376295.03166667</v>
      </c>
      <c r="M26" s="56">
        <v>146876295.03166667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v>587892000</v>
      </c>
      <c r="E30" s="88">
        <v>425245000.05000001</v>
      </c>
      <c r="F30" s="88">
        <v>140189709.62</v>
      </c>
      <c r="G30" s="88">
        <v>565434709.66999996</v>
      </c>
      <c r="H30" s="88">
        <v>29918083.34</v>
      </c>
      <c r="I30" s="88">
        <v>5171569.5073298886</v>
      </c>
      <c r="J30" s="89">
        <v>35089652.847329885</v>
      </c>
      <c r="K30" s="88">
        <v>162646999.94999999</v>
      </c>
      <c r="L30" s="88">
        <v>33787506.569242723</v>
      </c>
      <c r="M30" s="90">
        <v>196434506.5192427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v>749892000</v>
      </c>
      <c r="E32" s="96">
        <v>476245000.05000001</v>
      </c>
      <c r="F32" s="96">
        <v>182866836.33424658</v>
      </c>
      <c r="G32" s="96">
        <v>659111836.38424659</v>
      </c>
      <c r="H32" s="96">
        <v>38918083.340000004</v>
      </c>
      <c r="I32" s="96">
        <v>9339052.3840422165</v>
      </c>
      <c r="J32" s="96">
        <v>48257135.724042214</v>
      </c>
      <c r="K32" s="96">
        <v>273646999.94999999</v>
      </c>
      <c r="L32" s="96">
        <v>60751455.197461918</v>
      </c>
      <c r="M32" s="96">
        <v>334398455.14746189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45"/>
      <c r="C36" s="145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45"/>
      <c r="C37" s="101" t="s">
        <v>44</v>
      </c>
      <c r="D37" s="145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45"/>
      <c r="C38" s="103"/>
      <c r="D38" s="145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45"/>
      <c r="C39" s="103"/>
      <c r="D39" s="145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45"/>
      <c r="C40" s="144" t="s">
        <v>49</v>
      </c>
      <c r="D40" s="144"/>
      <c r="E40" s="144"/>
      <c r="H40" s="284" t="s">
        <v>46</v>
      </c>
      <c r="I40" s="284"/>
      <c r="J40" s="108"/>
      <c r="K40" s="105"/>
      <c r="L40" s="14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45"/>
      <c r="C41" s="145" t="s">
        <v>47</v>
      </c>
      <c r="D41" s="145"/>
      <c r="E41" s="145"/>
      <c r="H41" s="285" t="s">
        <v>48</v>
      </c>
      <c r="I41" s="285"/>
      <c r="J41" s="100"/>
      <c r="L41" s="145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45"/>
      <c r="B42" s="145"/>
      <c r="C42" s="145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45"/>
      <c r="C43" s="145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45"/>
      <c r="C44" s="145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45"/>
      <c r="C45" s="145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45"/>
      <c r="C46" s="145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45"/>
      <c r="C47" s="145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45"/>
      <c r="C48" s="145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45"/>
      <c r="C49" s="145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45"/>
      <c r="C50" s="145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45"/>
      <c r="C51" s="145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45"/>
      <c r="C52" s="145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45"/>
      <c r="C53" s="145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45"/>
      <c r="C54" s="145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45"/>
      <c r="C55" s="145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45"/>
      <c r="C56" s="145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45"/>
      <c r="C57" s="145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45"/>
      <c r="C58" s="145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45"/>
      <c r="C59" s="145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45"/>
      <c r="C60" s="145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45"/>
      <c r="C61" s="145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45"/>
      <c r="C62" s="145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45"/>
      <c r="C63" s="145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45"/>
      <c r="C64" s="145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45"/>
      <c r="C65" s="145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45"/>
      <c r="C66" s="145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45"/>
      <c r="C67" s="145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2" right="0.2" top="0.75" bottom="0.25" header="0.3" footer="0.3"/>
  <pageSetup paperSize="10000" scale="5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topLeftCell="D4" zoomScaleSheetLayoutView="100" workbookViewId="0">
      <selection activeCell="M17" sqref="M17"/>
    </sheetView>
  </sheetViews>
  <sheetFormatPr defaultRowHeight="12"/>
  <cols>
    <col min="1" max="1" width="40.7109375" style="2" customWidth="1"/>
    <col min="2" max="2" width="17.7109375" style="3" customWidth="1"/>
    <col min="3" max="3" width="58.7109375" style="3" customWidth="1"/>
    <col min="4" max="4" width="15.7109375" style="4" customWidth="1"/>
    <col min="5" max="7" width="15.7109375" style="2" customWidth="1"/>
    <col min="8" max="8" width="14.7109375" style="2" customWidth="1"/>
    <col min="9" max="9" width="13.7109375" style="2" customWidth="1"/>
    <col min="10" max="10" width="14.7109375" style="5" customWidth="1"/>
    <col min="11" max="11" width="15.7109375" style="2" customWidth="1"/>
    <col min="12" max="12" width="14.7109375" style="2" customWidth="1"/>
    <col min="13" max="13" width="15.7109375" style="1" customWidth="1"/>
    <col min="14" max="14" width="9.140625" style="1"/>
    <col min="15" max="15" width="13.5703125" style="1" bestFit="1" customWidth="1"/>
    <col min="16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84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85</v>
      </c>
      <c r="F6" s="288"/>
      <c r="G6" s="289"/>
      <c r="H6" s="287" t="s">
        <v>51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v>52500000</v>
      </c>
      <c r="F8" s="22">
        <v>43338565.074246563</v>
      </c>
      <c r="G8" s="21">
        <f>SUM(E8:F8)</f>
        <v>95838565.074246556</v>
      </c>
      <c r="H8" s="21">
        <f>SUM('[5]NEW 162M'!$C$58:$C$62)</f>
        <v>7500000</v>
      </c>
      <c r="I8" s="21">
        <f>SUM('[5]NEW 162M'!$D$58:$D$62)</f>
        <v>3460428.0821917807</v>
      </c>
      <c r="J8" s="23">
        <f>H8+I8</f>
        <v>10960428.08219178</v>
      </c>
      <c r="K8" s="21">
        <f>D8-E8</f>
        <v>109500000</v>
      </c>
      <c r="L8" s="24">
        <f>'[2]NEW 162M'!$D$131-F8</f>
        <v>26302510.268219195</v>
      </c>
      <c r="M8" s="25">
        <f>SUM(K8:L8)</f>
        <v>135802510.2682192</v>
      </c>
      <c r="N8" s="26"/>
      <c r="O8" s="52">
        <f>M8-june!M8</f>
        <v>-2161438.3599999845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 customHeight="1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 customHeight="1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52500000</v>
      </c>
      <c r="F11" s="37">
        <f>SUM(F8:F10)</f>
        <v>43338565.074246563</v>
      </c>
      <c r="G11" s="37">
        <f t="shared" si="0"/>
        <v>95838565.074246556</v>
      </c>
      <c r="H11" s="37">
        <f t="shared" si="0"/>
        <v>7500000</v>
      </c>
      <c r="I11" s="37">
        <f t="shared" si="0"/>
        <v>3460428.0821917807</v>
      </c>
      <c r="J11" s="38">
        <f t="shared" si="0"/>
        <v>10960428.08219178</v>
      </c>
      <c r="K11" s="37">
        <f t="shared" si="0"/>
        <v>109500000</v>
      </c>
      <c r="L11" s="37">
        <f>SUM(L8:L10)</f>
        <v>26302510.268219195</v>
      </c>
      <c r="M11" s="39">
        <f>SUM(K11:L11)</f>
        <v>135802510.2682192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</f>
        <v>199999999.98999998</v>
      </c>
      <c r="F13" s="44">
        <f>'[1]NEW CITY HALL (200M)'!$F$108</f>
        <v>53316189.390000001</v>
      </c>
      <c r="G13" s="21">
        <f>SUM(E13:F13)</f>
        <v>253316189.38</v>
      </c>
      <c r="H13" s="21">
        <v>0</v>
      </c>
      <c r="I13" s="21">
        <v>0</v>
      </c>
      <c r="J13" s="23">
        <v>0</v>
      </c>
      <c r="K13" s="45">
        <f>D13-E13</f>
        <v>1.0000020265579224E-2</v>
      </c>
      <c r="L13" s="21">
        <v>0</v>
      </c>
      <c r="M13" s="46">
        <f>SUM(K13:L13)</f>
        <v>1.0000020265579224E-2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242000000</v>
      </c>
      <c r="F17" s="45">
        <f>'[1]CONSOL NEW CITY HALL (264)'!$E$213</f>
        <v>70534166</v>
      </c>
      <c r="G17" s="45">
        <f>SUM(E17:F17)</f>
        <v>312534166</v>
      </c>
      <c r="H17" s="45">
        <f>'[6]NEW 132M'!$C$20</f>
        <v>11000000</v>
      </c>
      <c r="I17" s="45">
        <f>547631.7</f>
        <v>547631.69999999995</v>
      </c>
      <c r="J17" s="45">
        <f>SUM(H17:I17)</f>
        <v>11547631.699999999</v>
      </c>
      <c r="K17" s="45">
        <f>D17-E17</f>
        <v>22000000</v>
      </c>
      <c r="L17" s="45">
        <f>SUM('[7]NEW 132M'!$D$19:$D$22)</f>
        <v>1823250</v>
      </c>
      <c r="M17" s="56">
        <f>SUM(K17:L17)</f>
        <v>23823250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0</v>
      </c>
      <c r="F23" s="21">
        <f>'[1]LAND (8.3M)'!$E$62</f>
        <v>0</v>
      </c>
      <c r="G23" s="21">
        <f>SUM(E23:F23)</f>
        <v>0</v>
      </c>
      <c r="H23" s="21">
        <f>SUM('[3]8.3M'!$C$30:$C$31)</f>
        <v>699333.34</v>
      </c>
      <c r="I23" s="21">
        <f>SUM('[3]8.3M'!$D$30:$D$31)</f>
        <v>116372.94982988892</v>
      </c>
      <c r="J23" s="54">
        <f>H23+I23</f>
        <v>815706.28982988885</v>
      </c>
      <c r="K23" s="21">
        <f>D23-E23</f>
        <v>8392000</v>
      </c>
      <c r="L23" s="21">
        <f>'[3]8.3M'!$D$39-F23</f>
        <v>2703651.7875760561</v>
      </c>
      <c r="M23" s="56">
        <f>SUM(K23:L23)</f>
        <v>11095651.787576057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7218750</v>
      </c>
      <c r="F26" s="21">
        <f>'[1]NEW CITY HALL (231M)'!$F$19</f>
        <v>18560562.810000002</v>
      </c>
      <c r="G26" s="21">
        <f>SUM(E26:F26)</f>
        <v>25779312.810000002</v>
      </c>
      <c r="H26" s="21">
        <f>'[8]231M'!$C$20</f>
        <v>3609375</v>
      </c>
      <c r="I26" s="21">
        <f>'[8]231M'!$D$20</f>
        <v>1858627.6041666667</v>
      </c>
      <c r="J26" s="23">
        <f>H26+I26</f>
        <v>5468002.604166667</v>
      </c>
      <c r="K26" s="21">
        <f>D26-E26</f>
        <v>108281250</v>
      </c>
      <c r="L26" s="21">
        <f>'[4]231M'!$D$51-F26</f>
        <v>28084994.481666669</v>
      </c>
      <c r="M26" s="56">
        <f>SUM(K26:L26)</f>
        <v>136366244.48166668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f>D13+D17+D23+D26</f>
        <v>587892000</v>
      </c>
      <c r="E30" s="88">
        <f t="shared" ref="E30:M30" si="1">E13+E17+E23+E26</f>
        <v>449218749.99000001</v>
      </c>
      <c r="F30" s="88">
        <f t="shared" si="1"/>
        <v>142410918.19999999</v>
      </c>
      <c r="G30" s="88">
        <f t="shared" si="1"/>
        <v>591629668.19000006</v>
      </c>
      <c r="H30" s="88">
        <f t="shared" si="1"/>
        <v>15308708.34</v>
      </c>
      <c r="I30" s="88">
        <f t="shared" si="1"/>
        <v>2522632.2539965557</v>
      </c>
      <c r="J30" s="89">
        <f t="shared" si="1"/>
        <v>17831340.593996555</v>
      </c>
      <c r="K30" s="88">
        <f t="shared" si="1"/>
        <v>138673250.01000002</v>
      </c>
      <c r="L30" s="88">
        <f t="shared" si="1"/>
        <v>32611896.269242726</v>
      </c>
      <c r="M30" s="90">
        <f t="shared" si="1"/>
        <v>171285146.27924275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f t="shared" ref="D32:M32" si="2">D11+D30</f>
        <v>749892000</v>
      </c>
      <c r="E32" s="96">
        <f t="shared" si="2"/>
        <v>501718749.99000001</v>
      </c>
      <c r="F32" s="96">
        <f t="shared" si="2"/>
        <v>185749483.27424654</v>
      </c>
      <c r="G32" s="96">
        <f t="shared" si="2"/>
        <v>687468233.26424658</v>
      </c>
      <c r="H32" s="96">
        <f t="shared" si="2"/>
        <v>22808708.34</v>
      </c>
      <c r="I32" s="96">
        <f t="shared" si="2"/>
        <v>5983060.3361883368</v>
      </c>
      <c r="J32" s="96">
        <f t="shared" si="2"/>
        <v>28791768.676188335</v>
      </c>
      <c r="K32" s="96">
        <f t="shared" si="2"/>
        <v>248173250.01000002</v>
      </c>
      <c r="L32" s="96">
        <f t="shared" si="2"/>
        <v>58914406.537461922</v>
      </c>
      <c r="M32" s="96">
        <f t="shared" si="2"/>
        <v>307087656.54746199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47"/>
      <c r="C36" s="147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47"/>
      <c r="C37" s="101" t="s">
        <v>44</v>
      </c>
      <c r="D37" s="147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47"/>
      <c r="C38" s="103"/>
      <c r="D38" s="147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47"/>
      <c r="C39" s="103"/>
      <c r="D39" s="147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47"/>
      <c r="C40" s="148" t="s">
        <v>86</v>
      </c>
      <c r="D40" s="146"/>
      <c r="E40" s="146"/>
      <c r="H40" s="284" t="s">
        <v>46</v>
      </c>
      <c r="I40" s="284"/>
      <c r="J40" s="108"/>
      <c r="K40" s="105"/>
      <c r="L40" s="14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47"/>
      <c r="C41" s="147" t="s">
        <v>47</v>
      </c>
      <c r="D41" s="147"/>
      <c r="E41" s="147"/>
      <c r="H41" s="285" t="s">
        <v>48</v>
      </c>
      <c r="I41" s="285"/>
      <c r="J41" s="100"/>
      <c r="L41" s="147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47"/>
      <c r="B42" s="147"/>
      <c r="C42" s="147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47"/>
      <c r="C43" s="147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47"/>
      <c r="C44" s="147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47"/>
      <c r="C45" s="147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47"/>
      <c r="C46" s="147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47"/>
      <c r="C47" s="147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47"/>
      <c r="C48" s="147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47"/>
      <c r="C49" s="147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47"/>
      <c r="C50" s="147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47"/>
      <c r="C51" s="147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47"/>
      <c r="C52" s="147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47"/>
      <c r="C53" s="147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47"/>
      <c r="C54" s="147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47"/>
      <c r="C55" s="147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47"/>
      <c r="C56" s="147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47"/>
      <c r="C57" s="147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47"/>
      <c r="C58" s="147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47"/>
      <c r="C59" s="147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47"/>
      <c r="C60" s="147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47"/>
      <c r="C61" s="147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47"/>
      <c r="C62" s="147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47"/>
      <c r="C63" s="147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47"/>
      <c r="C64" s="147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47"/>
      <c r="C65" s="147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47"/>
      <c r="C66" s="147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47"/>
      <c r="C67" s="147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25" right="0.25" top="0.3" bottom="0.65" header="0.3" footer="0.3"/>
  <pageSetup paperSize="10000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topLeftCell="B4" zoomScaleSheetLayoutView="100" workbookViewId="0">
      <selection activeCell="M17" sqref="M17"/>
    </sheetView>
  </sheetViews>
  <sheetFormatPr defaultRowHeight="12"/>
  <cols>
    <col min="1" max="1" width="40.7109375" style="2" customWidth="1"/>
    <col min="2" max="2" width="17.7109375" style="3" customWidth="1"/>
    <col min="3" max="3" width="58.7109375" style="3" customWidth="1"/>
    <col min="4" max="4" width="15.7109375" style="4" customWidth="1"/>
    <col min="5" max="7" width="15.7109375" style="2" customWidth="1"/>
    <col min="8" max="8" width="14.7109375" style="2" customWidth="1"/>
    <col min="9" max="9" width="13.7109375" style="2" customWidth="1"/>
    <col min="10" max="10" width="14.7109375" style="5" customWidth="1"/>
    <col min="11" max="11" width="15.7109375" style="2" customWidth="1"/>
    <col min="12" max="12" width="14.7109375" style="2" customWidth="1"/>
    <col min="13" max="13" width="15.7109375" style="1" customWidth="1"/>
    <col min="14" max="14" width="9.140625" style="1"/>
    <col min="15" max="15" width="23.140625" style="1" customWidth="1"/>
    <col min="16" max="47" width="9.140625" style="1"/>
    <col min="48" max="16384" width="9.140625" style="2"/>
  </cols>
  <sheetData>
    <row r="1" spans="1:47" ht="1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47" ht="15">
      <c r="A2" s="286" t="s">
        <v>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47" ht="15">
      <c r="A3" s="286" t="s">
        <v>87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47" ht="15.75">
      <c r="A4" s="291" t="s">
        <v>67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47" ht="12.75" thickBot="1"/>
    <row r="6" spans="1:47">
      <c r="A6" s="6" t="s">
        <v>3</v>
      </c>
      <c r="B6" s="7" t="s">
        <v>4</v>
      </c>
      <c r="C6" s="7" t="s">
        <v>5</v>
      </c>
      <c r="D6" s="8" t="s">
        <v>6</v>
      </c>
      <c r="E6" s="287" t="s">
        <v>88</v>
      </c>
      <c r="F6" s="288"/>
      <c r="G6" s="289"/>
      <c r="H6" s="287" t="s">
        <v>51</v>
      </c>
      <c r="I6" s="288"/>
      <c r="J6" s="289"/>
      <c r="K6" s="287" t="s">
        <v>8</v>
      </c>
      <c r="L6" s="288"/>
      <c r="M6" s="290"/>
    </row>
    <row r="7" spans="1:47" ht="12.75" thickBot="1">
      <c r="A7" s="9"/>
      <c r="B7" s="10"/>
      <c r="C7" s="10"/>
      <c r="D7" s="11" t="s">
        <v>9</v>
      </c>
      <c r="E7" s="12" t="s">
        <v>10</v>
      </c>
      <c r="F7" s="13" t="s">
        <v>11</v>
      </c>
      <c r="G7" s="14" t="s">
        <v>12</v>
      </c>
      <c r="H7" s="15" t="s">
        <v>10</v>
      </c>
      <c r="I7" s="10" t="s">
        <v>11</v>
      </c>
      <c r="J7" s="14" t="s">
        <v>12</v>
      </c>
      <c r="K7" s="13" t="s">
        <v>10</v>
      </c>
      <c r="L7" s="16" t="s">
        <v>11</v>
      </c>
      <c r="M7" s="17" t="s">
        <v>12</v>
      </c>
    </row>
    <row r="8" spans="1:47" s="27" customFormat="1" ht="12.75">
      <c r="A8" s="18" t="s">
        <v>13</v>
      </c>
      <c r="B8" s="19" t="s">
        <v>14</v>
      </c>
      <c r="C8" s="20" t="s">
        <v>15</v>
      </c>
      <c r="D8" s="21">
        <v>162000000</v>
      </c>
      <c r="E8" s="21">
        <f>'[1]PNB 162M'!$G$63-1500000</f>
        <v>58500000</v>
      </c>
      <c r="F8" s="22">
        <f>'[1]PNB 162M'!$F$63-'[1]PNB 162M'!$F$54</f>
        <v>45910726.044246562</v>
      </c>
      <c r="G8" s="21">
        <f>SUM(E8:F8)</f>
        <v>104410726.04424655</v>
      </c>
      <c r="H8" s="21">
        <f>SUM('[5]NEW 162M'!$C$59:$C$62)</f>
        <v>6000000</v>
      </c>
      <c r="I8" s="21">
        <f>SUM('[5]NEW 162M'!$D$59:$D$62)</f>
        <v>2739678.0821917807</v>
      </c>
      <c r="J8" s="23">
        <f>H8+I8</f>
        <v>8739678.0821917802</v>
      </c>
      <c r="K8" s="21">
        <f>D8-E8</f>
        <v>103500000</v>
      </c>
      <c r="L8" s="24">
        <f>'[5]NEW 162M'!$D$131-F8</f>
        <v>23730349.298219196</v>
      </c>
      <c r="M8" s="25">
        <f>SUM(K8:L8)</f>
        <v>127230349.2982192</v>
      </c>
      <c r="N8" s="26"/>
      <c r="O8" s="52">
        <f>M8-july!M8</f>
        <v>-8572160.9699999988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47" s="27" customFormat="1" ht="12.75" customHeight="1">
      <c r="A9" s="28"/>
      <c r="B9" s="19"/>
      <c r="C9" s="29" t="s">
        <v>52</v>
      </c>
      <c r="D9" s="21"/>
      <c r="E9" s="21"/>
      <c r="F9" s="22"/>
      <c r="G9" s="21"/>
      <c r="H9" s="21"/>
      <c r="I9" s="21"/>
      <c r="J9" s="23"/>
      <c r="K9" s="21"/>
      <c r="L9" s="30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s="27" customFormat="1" ht="12.75" customHeight="1">
      <c r="A10" s="31"/>
      <c r="B10" s="32"/>
      <c r="C10" s="33" t="s">
        <v>17</v>
      </c>
      <c r="D10" s="34"/>
      <c r="E10" s="34"/>
      <c r="F10" s="34"/>
      <c r="G10" s="34"/>
      <c r="H10" s="34"/>
      <c r="I10" s="34"/>
      <c r="J10" s="35"/>
      <c r="K10" s="34"/>
      <c r="L10" s="3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 s="27" customFormat="1" ht="12.75">
      <c r="A11" s="31"/>
      <c r="B11" s="32"/>
      <c r="C11" s="36" t="s">
        <v>56</v>
      </c>
      <c r="D11" s="37">
        <f>SUM(D8:D10)</f>
        <v>162000000</v>
      </c>
      <c r="E11" s="37">
        <f t="shared" ref="E11:K11" si="0">SUM(E8:E10)</f>
        <v>58500000</v>
      </c>
      <c r="F11" s="37">
        <f>SUM(F8:F10)</f>
        <v>45910726.044246562</v>
      </c>
      <c r="G11" s="37">
        <f t="shared" si="0"/>
        <v>104410726.04424655</v>
      </c>
      <c r="H11" s="37">
        <f t="shared" si="0"/>
        <v>6000000</v>
      </c>
      <c r="I11" s="37">
        <f t="shared" si="0"/>
        <v>2739678.0821917807</v>
      </c>
      <c r="J11" s="38">
        <f t="shared" si="0"/>
        <v>8739678.0821917802</v>
      </c>
      <c r="K11" s="37">
        <f t="shared" si="0"/>
        <v>103500000</v>
      </c>
      <c r="L11" s="37">
        <f>SUM(L8:L10)</f>
        <v>23730349.298219196</v>
      </c>
      <c r="M11" s="39">
        <f>SUM(K11:L11)</f>
        <v>127230349.2982192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</row>
    <row r="12" spans="1:47" s="27" customFormat="1" ht="12.75">
      <c r="A12" s="40" t="s">
        <v>19</v>
      </c>
      <c r="B12" s="19"/>
      <c r="C12" s="20"/>
      <c r="D12" s="21"/>
      <c r="E12" s="21"/>
      <c r="F12" s="21"/>
      <c r="G12" s="21"/>
      <c r="H12" s="21"/>
      <c r="I12" s="21"/>
      <c r="J12" s="23"/>
      <c r="K12" s="21"/>
      <c r="L12" s="21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1:47" s="27" customFormat="1" ht="12.75">
      <c r="A13" s="42" t="s">
        <v>20</v>
      </c>
      <c r="B13" s="19" t="s">
        <v>21</v>
      </c>
      <c r="C13" s="20" t="s">
        <v>22</v>
      </c>
      <c r="D13" s="21">
        <v>200000000</v>
      </c>
      <c r="E13" s="43">
        <f>'[1]NEW CITY HALL (200M)'!$G$108</f>
        <v>199999999.98999998</v>
      </c>
      <c r="F13" s="44">
        <f>'[1]NEW CITY HALL (200M)'!$F$108</f>
        <v>53316189.390000001</v>
      </c>
      <c r="G13" s="21">
        <f>SUM(E13:F13)</f>
        <v>253316189.38</v>
      </c>
      <c r="H13" s="21">
        <v>0</v>
      </c>
      <c r="I13" s="21">
        <v>0</v>
      </c>
      <c r="J13" s="23">
        <v>0</v>
      </c>
      <c r="K13" s="45">
        <f>D13-E13</f>
        <v>1.0000020265579224E-2</v>
      </c>
      <c r="L13" s="21">
        <v>0</v>
      </c>
      <c r="M13" s="46">
        <f>SUM(K13:L13)</f>
        <v>1.0000020265579224E-2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1:47" s="27" customFormat="1" ht="12.75">
      <c r="A14" s="47"/>
      <c r="B14" s="19"/>
      <c r="C14" s="48" t="s">
        <v>23</v>
      </c>
      <c r="D14" s="21"/>
      <c r="E14" s="21"/>
      <c r="F14" s="44"/>
      <c r="G14" s="21"/>
      <c r="H14" s="21"/>
      <c r="I14" s="21"/>
      <c r="J14" s="23"/>
      <c r="K14" s="21"/>
      <c r="L14" s="21"/>
      <c r="M14" s="4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</row>
    <row r="15" spans="1:47" s="27" customFormat="1" ht="12.75">
      <c r="A15" s="49"/>
      <c r="B15" s="50"/>
      <c r="C15" s="33" t="s">
        <v>24</v>
      </c>
      <c r="D15" s="34"/>
      <c r="E15" s="34"/>
      <c r="F15" s="34"/>
      <c r="G15" s="34"/>
      <c r="H15" s="34"/>
      <c r="I15" s="34"/>
      <c r="J15" s="35"/>
      <c r="K15" s="34"/>
      <c r="L15" s="34"/>
      <c r="M15" s="51"/>
      <c r="N15" s="26"/>
      <c r="O15" s="26"/>
      <c r="P15" s="5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27" customFormat="1" ht="12.75">
      <c r="A16" s="53"/>
      <c r="B16" s="19"/>
      <c r="C16" s="48"/>
      <c r="D16" s="21"/>
      <c r="E16" s="21"/>
      <c r="F16" s="21"/>
      <c r="G16" s="21"/>
      <c r="H16" s="21"/>
      <c r="I16" s="21"/>
      <c r="J16" s="54"/>
      <c r="K16" s="21"/>
      <c r="L16" s="21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1:47" s="27" customFormat="1" ht="12.75">
      <c r="A17" s="47" t="s">
        <v>25</v>
      </c>
      <c r="B17" s="55"/>
      <c r="C17" s="20" t="s">
        <v>26</v>
      </c>
      <c r="D17" s="45">
        <v>264000000</v>
      </c>
      <c r="E17" s="45">
        <f>'[1]CONSOL NEW CITY HALL (264)'!$F$213</f>
        <v>242000000</v>
      </c>
      <c r="F17" s="45">
        <f>'[1]CONSOL NEW CITY HALL (264)'!$E$213</f>
        <v>70534166</v>
      </c>
      <c r="G17" s="45">
        <f>SUM(E17:F17)</f>
        <v>312534166</v>
      </c>
      <c r="H17" s="45">
        <f>'[6]NEW 132M'!$C$20</f>
        <v>11000000</v>
      </c>
      <c r="I17" s="45">
        <f>547631.7</f>
        <v>547631.69999999995</v>
      </c>
      <c r="J17" s="45">
        <f>SUM(H17:I17)</f>
        <v>11547631.699999999</v>
      </c>
      <c r="K17" s="45">
        <f>D17-E17</f>
        <v>22000000</v>
      </c>
      <c r="L17" s="45">
        <f>SUM('[7]NEW 132M'!$D$19:$D$22)</f>
        <v>1823250</v>
      </c>
      <c r="M17" s="56">
        <f>SUM(K17:L17)</f>
        <v>23823250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1:47" s="27" customFormat="1" ht="12.75">
      <c r="A18" s="28" t="s">
        <v>27</v>
      </c>
      <c r="B18" s="55" t="s">
        <v>28</v>
      </c>
      <c r="C18" s="57" t="s">
        <v>29</v>
      </c>
      <c r="D18" s="58"/>
      <c r="E18" s="58"/>
      <c r="F18" s="44"/>
      <c r="G18" s="58"/>
      <c r="H18" s="45"/>
      <c r="I18" s="45"/>
      <c r="J18" s="45"/>
      <c r="K18" s="58"/>
      <c r="L18" s="45"/>
      <c r="M18" s="4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27" customFormat="1" ht="12.75">
      <c r="A19" s="28"/>
      <c r="B19" s="55"/>
      <c r="C19" s="48" t="s">
        <v>30</v>
      </c>
      <c r="D19" s="58"/>
      <c r="E19" s="58"/>
      <c r="F19" s="58"/>
      <c r="G19" s="58"/>
      <c r="H19" s="45"/>
      <c r="I19" s="45"/>
      <c r="J19" s="45"/>
      <c r="K19" s="58"/>
      <c r="L19" s="45"/>
      <c r="M19" s="4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7" customFormat="1" ht="12.75">
      <c r="A20" s="59"/>
      <c r="B20" s="60"/>
      <c r="C20" s="33" t="s">
        <v>24</v>
      </c>
      <c r="D20" s="61"/>
      <c r="E20" s="61"/>
      <c r="F20" s="61"/>
      <c r="G20" s="61"/>
      <c r="H20" s="62"/>
      <c r="I20" s="62"/>
      <c r="J20" s="62"/>
      <c r="K20" s="61"/>
      <c r="L20" s="62"/>
      <c r="M20" s="6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s="27" customFormat="1" ht="12.75">
      <c r="A21" s="28"/>
      <c r="B21" s="55"/>
      <c r="C21" s="20"/>
      <c r="D21" s="21"/>
      <c r="E21" s="21"/>
      <c r="F21" s="21"/>
      <c r="G21" s="21"/>
      <c r="H21" s="45"/>
      <c r="I21" s="58"/>
      <c r="J21" s="68"/>
      <c r="K21" s="21"/>
      <c r="L21" s="58"/>
      <c r="M21" s="6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27" customFormat="1" ht="12.75">
      <c r="A22" s="28" t="s">
        <v>33</v>
      </c>
      <c r="B22" s="55"/>
      <c r="C22" s="20" t="s">
        <v>34</v>
      </c>
      <c r="D22" s="21"/>
      <c r="E22" s="43"/>
      <c r="F22" s="44"/>
      <c r="G22" s="21"/>
      <c r="H22" s="45"/>
      <c r="I22" s="58"/>
      <c r="J22" s="68"/>
      <c r="K22" s="21"/>
      <c r="L22" s="58"/>
      <c r="M22" s="6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s="27" customFormat="1" ht="12.75">
      <c r="A23" s="28"/>
      <c r="B23" s="19" t="s">
        <v>37</v>
      </c>
      <c r="C23" s="48" t="s">
        <v>30</v>
      </c>
      <c r="D23" s="21">
        <v>8392000</v>
      </c>
      <c r="E23" s="21">
        <f>'[1]LAND (8.3M)'!$F$62</f>
        <v>0</v>
      </c>
      <c r="F23" s="21">
        <f>'[1]LAND (8.3M)'!$E$62</f>
        <v>0</v>
      </c>
      <c r="G23" s="21">
        <f>SUM(E23:F23)</f>
        <v>0</v>
      </c>
      <c r="H23" s="21">
        <f>SUM('[3]8.3M'!$C$30:$C$31)</f>
        <v>699333.34</v>
      </c>
      <c r="I23" s="21">
        <f>SUM('[3]8.3M'!$D$30:$D$31)</f>
        <v>116372.94982988892</v>
      </c>
      <c r="J23" s="54">
        <f>H23+I23</f>
        <v>815706.28982988885</v>
      </c>
      <c r="K23" s="21">
        <f>D23-E23</f>
        <v>8392000</v>
      </c>
      <c r="L23" s="21">
        <f>'[3]8.3M'!$D$39-F23</f>
        <v>2703651.7875760561</v>
      </c>
      <c r="M23" s="56">
        <f>SUM(K23:L23)</f>
        <v>11095651.787576057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s="27" customFormat="1" ht="12.75">
      <c r="A24" s="28"/>
      <c r="B24" s="19"/>
      <c r="C24" s="48"/>
      <c r="D24" s="21"/>
      <c r="E24" s="21"/>
      <c r="F24" s="21"/>
      <c r="G24" s="21"/>
      <c r="H24" s="21"/>
      <c r="I24" s="21"/>
      <c r="J24" s="23"/>
      <c r="K24" s="21"/>
      <c r="L24" s="21"/>
      <c r="M24" s="5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27" customFormat="1" ht="12.75">
      <c r="A25" s="70" t="s">
        <v>38</v>
      </c>
      <c r="B25" s="71"/>
      <c r="C25" s="72" t="s">
        <v>26</v>
      </c>
      <c r="D25" s="73"/>
      <c r="E25" s="74"/>
      <c r="F25" s="74"/>
      <c r="G25" s="74"/>
      <c r="H25" s="74"/>
      <c r="I25" s="74"/>
      <c r="J25" s="75"/>
      <c r="K25" s="74"/>
      <c r="L25" s="74"/>
      <c r="M25" s="76"/>
      <c r="N25" s="26"/>
      <c r="O25" s="52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27" customFormat="1" ht="12.75">
      <c r="A26" s="77" t="s">
        <v>39</v>
      </c>
      <c r="B26" s="78"/>
      <c r="C26" s="48" t="s">
        <v>40</v>
      </c>
      <c r="D26" s="79">
        <v>115500000</v>
      </c>
      <c r="E26" s="21">
        <f>'[1]NEW CITY HALL (231M)'!$G$19</f>
        <v>7218750</v>
      </c>
      <c r="F26" s="21">
        <f>'[1]NEW CITY HALL (231M)'!$F$19</f>
        <v>18560562.810000002</v>
      </c>
      <c r="G26" s="21">
        <f>SUM(E26:F26)</f>
        <v>25779312.810000002</v>
      </c>
      <c r="H26" s="21">
        <f>'[8]231M'!$C$20</f>
        <v>3609375</v>
      </c>
      <c r="I26" s="21">
        <f>'[8]231M'!$D$20</f>
        <v>1858627.6041666667</v>
      </c>
      <c r="J26" s="23">
        <f>H26+I26</f>
        <v>5468002.604166667</v>
      </c>
      <c r="K26" s="21">
        <f>D26-E26</f>
        <v>108281250</v>
      </c>
      <c r="L26" s="21">
        <f>'[4]231M'!$D$51-F26</f>
        <v>28084994.481666669</v>
      </c>
      <c r="M26" s="56">
        <f>SUM(K26:L26)</f>
        <v>136366244.48166668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27" customFormat="1" ht="12.75">
      <c r="A27" s="49"/>
      <c r="B27" s="117" t="s">
        <v>41</v>
      </c>
      <c r="C27" s="33" t="s">
        <v>24</v>
      </c>
      <c r="D27" s="83"/>
      <c r="E27" s="37"/>
      <c r="F27" s="37"/>
      <c r="G27" s="34"/>
      <c r="H27" s="34"/>
      <c r="I27" s="34"/>
      <c r="J27" s="35"/>
      <c r="K27" s="34"/>
      <c r="L27" s="34"/>
      <c r="M27" s="11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27" customFormat="1" ht="12.75">
      <c r="A28" s="53"/>
      <c r="B28" s="81"/>
      <c r="C28" s="48"/>
      <c r="D28" s="79"/>
      <c r="E28" s="80"/>
      <c r="F28" s="80"/>
      <c r="G28" s="21"/>
      <c r="H28" s="21"/>
      <c r="I28" s="21"/>
      <c r="J28" s="23"/>
      <c r="K28" s="21"/>
      <c r="L28" s="21"/>
      <c r="M28" s="5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27" customFormat="1" ht="12.75">
      <c r="A29" s="59"/>
      <c r="B29" s="82"/>
      <c r="C29" s="33"/>
      <c r="D29" s="83"/>
      <c r="E29" s="34"/>
      <c r="F29" s="34"/>
      <c r="G29" s="34"/>
      <c r="H29" s="34"/>
      <c r="I29" s="34"/>
      <c r="J29" s="35"/>
      <c r="K29" s="34"/>
      <c r="L29" s="34"/>
      <c r="M29" s="84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27" customFormat="1" ht="13.5" thickBot="1">
      <c r="A30" s="85" t="s">
        <v>42</v>
      </c>
      <c r="B30" s="86"/>
      <c r="C30" s="87"/>
      <c r="D30" s="88">
        <f>D13+D17+D23+D26</f>
        <v>587892000</v>
      </c>
      <c r="E30" s="88">
        <f t="shared" ref="E30:M30" si="1">E13+E17+E23+E26</f>
        <v>449218749.99000001</v>
      </c>
      <c r="F30" s="88">
        <f t="shared" si="1"/>
        <v>142410918.19999999</v>
      </c>
      <c r="G30" s="88">
        <f t="shared" si="1"/>
        <v>591629668.19000006</v>
      </c>
      <c r="H30" s="88">
        <f t="shared" si="1"/>
        <v>15308708.34</v>
      </c>
      <c r="I30" s="88">
        <f t="shared" si="1"/>
        <v>2522632.2539965557</v>
      </c>
      <c r="J30" s="89">
        <f t="shared" si="1"/>
        <v>17831340.593996555</v>
      </c>
      <c r="K30" s="88">
        <f t="shared" si="1"/>
        <v>138673250.01000002</v>
      </c>
      <c r="L30" s="88">
        <f t="shared" si="1"/>
        <v>32611896.269242726</v>
      </c>
      <c r="M30" s="90">
        <f t="shared" si="1"/>
        <v>171285146.27924275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27" customFormat="1" ht="12.75">
      <c r="A31" s="18"/>
      <c r="B31" s="86"/>
      <c r="C31" s="91"/>
      <c r="D31" s="88"/>
      <c r="E31" s="88"/>
      <c r="F31" s="88"/>
      <c r="G31" s="88"/>
      <c r="H31" s="88"/>
      <c r="I31" s="88"/>
      <c r="J31" s="89"/>
      <c r="K31" s="88"/>
      <c r="L31" s="88"/>
      <c r="M31" s="9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27" customFormat="1" ht="13.5" thickBot="1">
      <c r="A32" s="93" t="s">
        <v>43</v>
      </c>
      <c r="B32" s="94"/>
      <c r="C32" s="95"/>
      <c r="D32" s="96">
        <f t="shared" ref="D32:M32" si="2">D11+D30</f>
        <v>749892000</v>
      </c>
      <c r="E32" s="96">
        <f t="shared" si="2"/>
        <v>507718749.99000001</v>
      </c>
      <c r="F32" s="96">
        <f t="shared" si="2"/>
        <v>188321644.24424654</v>
      </c>
      <c r="G32" s="96">
        <f t="shared" si="2"/>
        <v>696040394.23424661</v>
      </c>
      <c r="H32" s="96">
        <f t="shared" si="2"/>
        <v>21308708.34</v>
      </c>
      <c r="I32" s="96">
        <f t="shared" si="2"/>
        <v>5262310.3361883368</v>
      </c>
      <c r="J32" s="96">
        <f t="shared" si="2"/>
        <v>26571018.676188335</v>
      </c>
      <c r="K32" s="96">
        <f t="shared" si="2"/>
        <v>242173250.01000002</v>
      </c>
      <c r="L32" s="96">
        <f t="shared" si="2"/>
        <v>56342245.567461923</v>
      </c>
      <c r="M32" s="96">
        <f t="shared" si="2"/>
        <v>298515495.57746196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s="27" customFormat="1" ht="12.75">
      <c r="A33" s="97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s="27" customFormat="1" ht="12.75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27" customFormat="1" ht="12.75">
      <c r="A35" s="97"/>
      <c r="B35" s="97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s="27" customFormat="1" ht="12.75">
      <c r="B36" s="150"/>
      <c r="C36" s="150"/>
      <c r="J36" s="100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s="27" customFormat="1" ht="12.75">
      <c r="B37" s="150"/>
      <c r="C37" s="101" t="s">
        <v>44</v>
      </c>
      <c r="D37" s="150"/>
      <c r="H37" s="102" t="s">
        <v>45</v>
      </c>
      <c r="J37" s="100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s="27" customFormat="1" ht="12.75">
      <c r="B38" s="150"/>
      <c r="C38" s="103"/>
      <c r="D38" s="150"/>
      <c r="H38" s="102"/>
      <c r="J38" s="100"/>
      <c r="K38" s="10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s="27" customFormat="1" ht="12.75">
      <c r="B39" s="150"/>
      <c r="C39" s="103"/>
      <c r="D39" s="150"/>
      <c r="H39" s="102"/>
      <c r="J39" s="100"/>
      <c r="K39" s="10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s="27" customFormat="1" ht="12.75">
      <c r="B40" s="150"/>
      <c r="C40" s="149" t="s">
        <v>86</v>
      </c>
      <c r="D40" s="149"/>
      <c r="E40" s="149"/>
      <c r="H40" s="284" t="s">
        <v>46</v>
      </c>
      <c r="I40" s="284"/>
      <c r="J40" s="108"/>
      <c r="K40" s="105"/>
      <c r="L40" s="149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s="27" customFormat="1" ht="12.75">
      <c r="B41" s="150"/>
      <c r="C41" s="150" t="s">
        <v>47</v>
      </c>
      <c r="D41" s="150"/>
      <c r="E41" s="150"/>
      <c r="H41" s="285" t="s">
        <v>48</v>
      </c>
      <c r="I41" s="285"/>
      <c r="J41" s="100"/>
      <c r="L41" s="150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s="27" customFormat="1" ht="12.75">
      <c r="A42" s="150"/>
      <c r="B42" s="150"/>
      <c r="C42" s="150"/>
      <c r="J42" s="10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s="27" customFormat="1" ht="12.75">
      <c r="B43" s="150"/>
      <c r="C43" s="150"/>
      <c r="D43" s="104"/>
      <c r="J43" s="100"/>
      <c r="K43" s="105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s="27" customFormat="1" ht="12.75">
      <c r="B44" s="150"/>
      <c r="C44" s="150"/>
      <c r="D44" s="104"/>
      <c r="J44" s="100"/>
      <c r="K44" s="10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s="27" customFormat="1" ht="12.75">
      <c r="B45" s="150"/>
      <c r="C45" s="150"/>
      <c r="D45" s="104"/>
      <c r="J45" s="100"/>
      <c r="K45" s="10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s="27" customFormat="1" ht="12.75">
      <c r="B46" s="150"/>
      <c r="C46" s="150"/>
      <c r="D46" s="104"/>
      <c r="J46" s="100"/>
      <c r="K46" s="105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s="27" customFormat="1" ht="12.75">
      <c r="B47" s="150"/>
      <c r="C47" s="150"/>
      <c r="D47" s="104"/>
      <c r="E47" s="104"/>
      <c r="J47" s="10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27" customFormat="1" ht="12.75">
      <c r="B48" s="150"/>
      <c r="C48" s="150"/>
      <c r="D48" s="104"/>
      <c r="J48" s="10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2:47" s="27" customFormat="1" ht="12.75">
      <c r="B49" s="150"/>
      <c r="C49" s="150"/>
      <c r="D49" s="104"/>
      <c r="J49" s="10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2:47" s="27" customFormat="1" ht="12.75">
      <c r="B50" s="150"/>
      <c r="C50" s="150"/>
      <c r="D50" s="104"/>
      <c r="J50" s="100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2:47" s="27" customFormat="1" ht="12.75">
      <c r="B51" s="150"/>
      <c r="C51" s="150"/>
      <c r="D51" s="104"/>
      <c r="J51" s="10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s="27" customFormat="1" ht="12.75">
      <c r="B52" s="150"/>
      <c r="C52" s="150"/>
      <c r="D52" s="104"/>
      <c r="J52" s="10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2:47" s="27" customFormat="1" ht="12.75">
      <c r="B53" s="150"/>
      <c r="C53" s="150"/>
      <c r="D53" s="104"/>
      <c r="J53" s="10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s="27" customFormat="1" ht="12.75">
      <c r="B54" s="150"/>
      <c r="C54" s="150"/>
      <c r="D54" s="104"/>
      <c r="J54" s="10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2:47" s="27" customFormat="1" ht="12.75">
      <c r="B55" s="150"/>
      <c r="C55" s="150"/>
      <c r="D55" s="104"/>
      <c r="J55" s="100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2:47" s="27" customFormat="1" ht="12.75">
      <c r="B56" s="150"/>
      <c r="C56" s="150"/>
      <c r="D56" s="104"/>
      <c r="J56" s="100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2:47" s="27" customFormat="1" ht="12.75">
      <c r="B57" s="150"/>
      <c r="C57" s="150"/>
      <c r="D57" s="104"/>
      <c r="J57" s="10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2:47" s="27" customFormat="1" ht="12.75">
      <c r="B58" s="150"/>
      <c r="C58" s="150"/>
      <c r="D58" s="104"/>
      <c r="J58" s="10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2:47" s="27" customFormat="1" ht="12.75">
      <c r="B59" s="150"/>
      <c r="C59" s="150"/>
      <c r="D59" s="104"/>
      <c r="J59" s="10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s="27" customFormat="1" ht="12.75">
      <c r="B60" s="150"/>
      <c r="C60" s="150"/>
      <c r="D60" s="104"/>
      <c r="J60" s="100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:47" s="27" customFormat="1" ht="12.75">
      <c r="B61" s="150"/>
      <c r="C61" s="150"/>
      <c r="D61" s="104"/>
      <c r="J61" s="100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2:47" s="27" customFormat="1" ht="12.75">
      <c r="B62" s="150"/>
      <c r="C62" s="150"/>
      <c r="D62" s="104"/>
      <c r="J62" s="10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2:47" s="27" customFormat="1" ht="12.75">
      <c r="B63" s="150"/>
      <c r="C63" s="150"/>
      <c r="D63" s="104"/>
      <c r="J63" s="10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2:47" s="27" customFormat="1" ht="12.75">
      <c r="B64" s="150"/>
      <c r="C64" s="150"/>
      <c r="D64" s="104"/>
      <c r="J64" s="10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:47" s="27" customFormat="1" ht="12.75">
      <c r="B65" s="150"/>
      <c r="C65" s="150"/>
      <c r="D65" s="104"/>
      <c r="J65" s="10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s="27" customFormat="1" ht="12.75">
      <c r="B66" s="150"/>
      <c r="C66" s="150"/>
      <c r="D66" s="104"/>
      <c r="J66" s="10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2:47" s="27" customFormat="1" ht="12.75">
      <c r="B67" s="150"/>
      <c r="C67" s="150"/>
      <c r="D67" s="104"/>
      <c r="J67" s="10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</sheetData>
  <mergeCells count="9">
    <mergeCell ref="H40:I40"/>
    <mergeCell ref="H41:I41"/>
    <mergeCell ref="A1:M1"/>
    <mergeCell ref="A2:M2"/>
    <mergeCell ref="A3:M3"/>
    <mergeCell ref="A4:M4"/>
    <mergeCell ref="E6:G6"/>
    <mergeCell ref="H6:J6"/>
    <mergeCell ref="K6:M6"/>
  </mergeCells>
  <pageMargins left="0.25" right="0.25" top="0.3" bottom="0.65" header="0.3" footer="0.3"/>
  <pageSetup paperSize="10000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dec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DEC'15</vt:lpstr>
      <vt:lpstr>mar (2)</vt:lpstr>
      <vt:lpstr>Sheet1</vt:lpstr>
      <vt:lpstr>aug!Print_Area</vt:lpstr>
      <vt:lpstr>'DEC''15'!Print_Area</vt:lpstr>
      <vt:lpstr>july!Print_Area</vt:lpstr>
      <vt:lpstr>nov!Print_Area</vt:lpstr>
      <vt:lpstr>oct!Print_Area</vt:lpstr>
      <vt:lpstr>sept!Print_Area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2016-02-04T00:31:13Z</cp:lastPrinted>
  <dcterms:created xsi:type="dcterms:W3CDTF">2002-01-01T08:16:18Z</dcterms:created>
  <dcterms:modified xsi:type="dcterms:W3CDTF">2002-01-01T09:49:14Z</dcterms:modified>
</cp:coreProperties>
</file>